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yYVTB+/V/7LzK8kRM95x0iAbolKsZoXelhpPqnLH9YXDRQLj03BPvQrD4rpdZzLPyr9RBTqvGpb/HoGbIDvKyA==" workbookSaltValue="0SmZpvmwSFjIrBjGBInAB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T14" i="20"/>
  <c r="BB26" i="13"/>
  <c r="BF16" i="8"/>
  <c r="BD9" i="8"/>
  <c r="AH14" i="16"/>
  <c r="AO14" i="21"/>
  <c r="AP14" i="16"/>
  <c r="F11" i="16"/>
  <c r="BL11" i="16" s="1"/>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L17" i="14" l="1"/>
  <c r="BF17" i="8"/>
  <c r="F14" i="7"/>
  <c r="T31" i="8"/>
  <c r="R8" i="9"/>
  <c r="AP17" i="20" s="1"/>
  <c r="BG17" i="13"/>
  <c r="X12" i="21"/>
  <c r="T9" i="11"/>
  <c r="BH11" i="16"/>
  <c r="S20" i="14"/>
  <c r="V20" i="14" s="1"/>
  <c r="BK13" i="11"/>
  <c r="BH16" i="11"/>
  <c r="BH19" i="16"/>
  <c r="P18" i="17"/>
  <c r="BM29"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K17" i="12" l="1"/>
  <c r="I16" i="12"/>
  <c r="K9" i="12"/>
  <c r="BF23" i="13"/>
  <c r="BI28" i="11"/>
  <c r="BL18" i="11"/>
  <c r="BJ19" i="11"/>
  <c r="BF19" i="11"/>
  <c r="BH18" i="16"/>
  <c r="BL9" i="11"/>
  <c r="BH21" i="16"/>
  <c r="BF11" i="11"/>
  <c r="V16" i="11"/>
  <c r="BF13" i="11"/>
  <c r="BG25" i="11"/>
  <c r="BH16" i="16"/>
  <c r="BG20" i="11"/>
  <c r="V12" i="21"/>
  <c r="BK11" i="11"/>
  <c r="AP10" i="21"/>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BH9" i="16"/>
  <c r="Q18" i="20"/>
  <c r="Q23" i="20" s="1"/>
  <c r="BF28" i="11"/>
  <c r="BF18" i="11"/>
  <c r="BG22" i="11"/>
  <c r="BK29" i="11"/>
  <c r="AZ19" i="11"/>
  <c r="AZ18" i="11"/>
  <c r="AP21" i="20"/>
  <c r="BJ11" i="11"/>
  <c r="R10" i="21"/>
  <c r="BG16" i="11"/>
  <c r="BL13" i="11"/>
  <c r="BM16" i="11"/>
  <c r="BJ25" i="11"/>
  <c r="BU16" i="17"/>
  <c r="X20" i="16"/>
  <c r="BW25" i="20"/>
  <c r="U13" i="17"/>
  <c r="BW29" i="20"/>
  <c r="BV29" i="16"/>
  <c r="BV9" i="16"/>
  <c r="AZ17" i="11"/>
  <c r="BG12" i="11"/>
  <c r="BI20" i="11"/>
  <c r="BI9" i="11"/>
  <c r="BL28" i="11"/>
  <c r="BL10" i="11"/>
  <c r="BH10" i="16"/>
  <c r="BH11" i="11"/>
  <c r="S18" i="17"/>
  <c r="BM9" i="11"/>
  <c r="BH12" i="16"/>
  <c r="BK22" i="11"/>
  <c r="L22" i="2"/>
  <c r="S16" i="17"/>
  <c r="S17" i="17"/>
  <c r="X19" i="16"/>
  <c r="U9" i="17"/>
  <c r="U31" i="17" s="1"/>
  <c r="BH22" i="16"/>
  <c r="BJ20" i="11"/>
  <c r="BH13" i="11"/>
  <c r="BH18" i="11"/>
  <c r="AO28" i="17"/>
  <c r="BW19" i="20"/>
  <c r="BU10" i="17"/>
  <c r="BU20" i="17"/>
  <c r="BW22" i="20"/>
  <c r="S28" i="17"/>
  <c r="T16" i="11"/>
  <c r="BH10" i="11"/>
  <c r="AO29" i="17"/>
  <c r="BM21" i="11"/>
  <c r="BJ17" i="11"/>
  <c r="BL17" i="11"/>
  <c r="BH22" i="11"/>
  <c r="X22" i="16"/>
  <c r="L12" i="2"/>
  <c r="L20" i="2"/>
  <c r="V10" i="16"/>
  <c r="X13" i="16"/>
  <c r="BH20" i="16"/>
  <c r="AZ16" i="11"/>
  <c r="AZ23" i="11" s="1"/>
  <c r="AZ26" i="11" s="1"/>
  <c r="BU22" i="17"/>
  <c r="BW21" i="20"/>
  <c r="Q18" i="17"/>
  <c r="AQ10" i="21"/>
  <c r="S10" i="17"/>
  <c r="BI29" i="11"/>
  <c r="BG17" i="11"/>
  <c r="AO25" i="17"/>
  <c r="X12" i="17"/>
  <c r="X10" i="21"/>
  <c r="V9"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12" i="11"/>
  <c r="H32" i="17"/>
  <c r="O32" i="20"/>
  <c r="AW32" i="11"/>
  <c r="AV32" i="21"/>
  <c r="R14" i="21" l="1"/>
  <c r="R31" i="21" s="1"/>
  <c r="BJ23" i="1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Y32" i="17"/>
  <c r="AT32" i="16"/>
  <c r="AV32" i="17"/>
  <c r="AW32" i="21"/>
  <c r="U32" i="17"/>
  <c r="AS32" i="16"/>
  <c r="M32" i="17"/>
  <c r="L32" i="16"/>
  <c r="AN32" i="17"/>
  <c r="AU32" i="16"/>
  <c r="AA32" i="17"/>
  <c r="O32" i="17"/>
  <c r="AB32" i="21"/>
  <c r="X32" i="17"/>
  <c r="BD32" i="21"/>
  <c r="AS32" i="21"/>
  <c r="AR32" i="17"/>
  <c r="X32" i="21"/>
  <c r="Y32" i="11"/>
  <c r="AB32" i="16"/>
  <c r="AG32" i="11"/>
  <c r="AE32" i="21"/>
  <c r="AD32" i="21"/>
  <c r="K32" i="21"/>
  <c r="AF32" i="17"/>
  <c r="AY32" i="16"/>
  <c r="BF32" i="16"/>
  <c r="AS32" i="17"/>
  <c r="X32" i="16"/>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T32" i="16"/>
  <c r="O32" i="21"/>
  <c r="AO32" i="11"/>
  <c r="X32" i="11"/>
  <c r="AZ32" i="16"/>
  <c r="Q32" i="16"/>
  <c r="Z32" i="16"/>
  <c r="V32" i="17"/>
  <c r="BS32" i="16"/>
  <c r="BC32" i="21"/>
  <c r="L32" i="11"/>
  <c r="H32" i="12"/>
  <c r="V32" i="11"/>
  <c r="P32" i="11"/>
  <c r="S32" i="16"/>
  <c r="H32" i="16"/>
  <c r="AA32" i="11"/>
  <c r="AC32" i="11"/>
  <c r="AO32" i="21"/>
  <c r="AM32" i="17"/>
  <c r="N32" i="21"/>
  <c r="S32" i="21"/>
  <c r="AW32" i="17"/>
  <c r="L32" i="21"/>
  <c r="AF32" i="11"/>
  <c r="AK32" i="16"/>
  <c r="AL32" i="17"/>
  <c r="AY32" i="21"/>
  <c r="AL32" i="11"/>
  <c r="I32" i="21"/>
  <c r="U32" i="11"/>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<sst xmlns="http://schemas.openxmlformats.org/spreadsheetml/2006/main" count="2682" uniqueCount="1192">
  <si>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</si>
  <si>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</si>
  <si>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</si>
  <si>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</si>
  <si>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</si>
  <si>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</si>
  <si>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</si>
  <si>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</si>
  <si>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</si>
  <si>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</si>
  <si>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</si>
  <si>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</si>
  <si>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</si>
  <si>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</si>
  <si>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</si>
  <si>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</si>
  <si>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</si>
  <si>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</si>
  <si>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</si>
  <si>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</si>
  <si>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</si>
  <si>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</si>
  <si>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</si>
  <si>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</si>
  <si>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</si>
  <si>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</si>
  <si>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</si>
  <si>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</si>
  <si>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</si>
  <si>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</si>
  <si>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</si>
  <si>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</si>
  <si>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</si>
  <si>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</si>
  <si>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</si>
  <si>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</si>
  <si>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</si>
  <si>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</si>
  <si>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</si>
  <si>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</si>
  <si>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</si>
  <si>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</si>
  <si>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</si>
  <si>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</si>
  <si>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</si>
  <si>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</si>
  <si>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</si>
  <si>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</si>
  <si>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</si>
  <si>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</si>
  <si>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</si>
  <si>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</si>
  <si>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</si>
  <si>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</si>
  <si>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</si>
  <si>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</si>
  <si>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</si>
  <si>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</si>
  <si>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</si>
  <si>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</si>
  <si>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</si>
  <si>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</si>
  <si>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</si>
  <si>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</si>
  <si>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</si>
  <si>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</si>
  <si>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</si>
  <si>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</si>
  <si>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</si>
  <si>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</si>
  <si>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</si>
  <si>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</si>
  <si>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</si>
  <si>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</si>
  <si>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</si>
  <si>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</si>
  <si>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</si>
  <si>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</si>
  <si>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</si>
  <si>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</si>
  <si>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</si>
  <si>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</si>
  <si>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</si>
  <si>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</si>
  <si>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</si>
  <si>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</si>
  <si>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</si>
  <si>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</si>
  <si>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</si>
  <si>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</si>
  <si>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</si>
  <si>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</si>
  <si>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</si>
  <si>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</si>
  <si>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</si>
  <si>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</si>
  <si>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</si>
  <si>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</si>
  <si>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</si>
  <si>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</si>
  <si>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</si>
  <si>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</si>
  <si>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</si>
  <si>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</si>
  <si>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</si>
  <si>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</si>
  <si>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</si>
  <si>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</si>
  <si>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</si>
  <si>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</si>
  <si>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</si>
  <si>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</si>
  <si>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</si>
  <si>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</si>
  <si>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</si>
  <si>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</si>
  <si>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</si>
  <si>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</si>
  <si>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</si>
  <si>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</si>
  <si>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</si>
  <si>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</si>
  <si>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</si>
  <si>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</si>
  <si>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</si>
  <si>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</si>
  <si>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</si>
  <si>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</si>
  <si>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</si>
  <si>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</si>
  <si>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</si>
  <si>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</si>
  <si>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</si>
  <si>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</si>
  <si>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</si>
  <si>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</si>
  <si>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</si>
  <si>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</si>
  <si>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</si>
  <si>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</si>
  <si>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</si>
  <si>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</si>
  <si>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</si>
  <si>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</si>
  <si>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</si>
  <si>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</si>
  <si>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</si>
  <si>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</si>
  <si>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</si>
  <si>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</si>
  <si>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</si>
  <si>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</si>
  <si>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</si>
  <si>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</si>
  <si>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</si>
  <si>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</si>
  <si>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</si>
  <si>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</si>
  <si>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</si>
  <si>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</si>
  <si>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</si>
  <si>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</si>
  <si>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</si>
  <si>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</si>
  <si>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</si>
  <si>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</si>
  <si>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</si>
  <si>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</si>
  <si>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</si>
  <si>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</si>
  <si>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</si>
  <si>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</si>
  <si>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</si>
  <si>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</si>
  <si>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</si>
  <si>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</si>
  <si>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</si>
  <si>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</si>
  <si>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</si>
  <si>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</si>
  <si>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</si>
  <si>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</si>
  <si>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</si>
  <si>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</si>
  <si>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</si>
  <si>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</si>
  <si>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</si>
  <si>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</si>
  <si>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</si>
  <si>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</si>
  <si>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</si>
  <si>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</si>
  <si>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</si>
  <si>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</si>
  <si>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</si>
  <si>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</si>
  <si>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</si>
  <si>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</si>
  <si>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</si>
  <si>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</si>
  <si>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</si>
  <si>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</si>
  <si>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</si>
  <si>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</si>
  <si>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</si>
  <si>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</si>
  <si>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</si>
  <si>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</si>
  <si>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</si>
  <si>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</si>
  <si>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</si>
  <si>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</si>
  <si>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</si>
  <si>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</si>
  <si>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</si>
  <si>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</si>
  <si>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</si>
  <si>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</si>
  <si>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</si>
  <si>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</si>
  <si>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</si>
  <si>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</si>
  <si>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</si>
  <si>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</si>
  <si>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</si>
  <si>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</si>
  <si>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</si>
  <si>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</si>
  <si>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</si>
  <si>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</si>
  <si>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</si>
  <si>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</si>
  <si>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</si>
  <si>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</si>
  <si>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</si>
  <si>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</si>
  <si>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</si>
  <si>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</si>
  <si>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</si>
  <si>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</si>
  <si>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</si>
  <si>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</si>
  <si>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</si>
  <si>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</si>
  <si>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</si>
  <si>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</si>
  <si>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</si>
  <si>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</si>
  <si>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</si>
  <si>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</si>
  <si>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</si>
  <si>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</si>
  <si>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</si>
  <si>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</si>
  <si>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</si>
  <si>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</si>
  <si>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</si>
  <si>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</si>
  <si>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</si>
  <si>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</si>
  <si>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</si>
  <si>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</si>
  <si>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</si>
  <si>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</si>
  <si>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</si>
  <si>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</si>
  <si>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</si>
  <si>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</si>
  <si>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</si>
  <si>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</si>
  <si>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</si>
  <si>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</si>
  <si>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</si>
  <si>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</si>
  <si>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</si>
  <si>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</si>
  <si>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</si>
  <si>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</si>
  <si>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</si>
  <si>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</si>
  <si>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</si>
  <si>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</si>
  <si>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</si>
  <si>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</si>
  <si>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</si>
  <si>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</si>
  <si>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</si>
  <si>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</si>
  <si>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</si>
  <si>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</si>
  <si>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</si>
  <si>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</si>
  <si>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</si>
  <si>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</si>
  <si>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</si>
  <si>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</si>
  <si>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</si>
  <si>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</si>
  <si>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</si>
  <si>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</si>
  <si>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</si>
  <si>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</si>
  <si>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</si>
  <si>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</si>
  <si>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</si>
  <si>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</si>
  <si>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</si>
  <si>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</si>
  <si>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</si>
  <si>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</si>
  <si>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</si>
  <si>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</si>
  <si>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</si>
  <si>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</si>
  <si>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</si>
  <si>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</si>
  <si>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</si>
  <si>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</si>
  <si>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</si>
  <si>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</si>
  <si>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</si>
  <si>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</si>
  <si>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</si>
  <si>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</si>
  <si>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</si>
  <si>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</si>
  <si>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</si>
  <si>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</si>
  <si>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</si>
  <si>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</si>
  <si>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</si>
  <si>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</si>
  <si>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</si>
  <si>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</si>
  <si>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</si>
  <si>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</si>
  <si>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</si>
  <si>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</si>
  <si>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</si>
  <si>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</si>
  <si>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</si>
  <si>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</si>
  <si>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</si>
  <si>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</si>
  <si>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</si>
  <si>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</si>
  <si>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</si>
  <si>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</si>
  <si>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</si>
  <si>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</si>
  <si>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</si>
  <si>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</si>
  <si>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</si>
  <si>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</si>
  <si>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</si>
  <si>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</si>
  <si>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</si>
  <si>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</si>
  <si>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</si>
  <si>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</si>
  <si>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</si>
  <si>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</si>
  <si>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</si>
  <si>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</si>
  <si>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</si>
  <si>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</si>
  <si>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</si>
  <si>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</si>
  <si>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</si>
  <si>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</si>
  <si>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</si>
  <si>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</si>
  <si>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</si>
  <si>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</si>
  <si>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</si>
  <si>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</si>
  <si>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</si>
  <si>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</si>
  <si>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</si>
  <si>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</si>
  <si>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</si>
  <si>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</si>
  <si>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</si>
  <si>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</si>
  <si>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</si>
  <si>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</si>
  <si>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</si>
  <si>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</si>
  <si>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</si>
  <si>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</si>
  <si>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</si>
  <si>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</si>
  <si>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</si>
  <si>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</si>
  <si>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</si>
  <si>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</si>
  <si>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</si>
  <si>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</si>
  <si>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</si>
  <si>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</si>
  <si>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</si>
  <si>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</si>
  <si>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</si>
  <si>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</si>
  <si>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</si>
  <si>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</si>
  <si>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</si>
  <si>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</si>
  <si>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</si>
  <si>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</si>
  <si>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</si>
  <si>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</si>
  <si>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</si>
  <si>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</si>
  <si>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</si>
  <si>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</si>
  <si>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</si>
  <si>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</si>
  <si>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</si>
  <si>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</si>
  <si>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</si>
  <si>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</si>
  <si>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</si>
  <si>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</si>
  <si>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</si>
  <si>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</si>
  <si>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</si>
  <si>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</si>
  <si>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</si>
  <si>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</si>
  <si>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</si>
  <si>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</si>
  <si>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</si>
  <si>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</si>
  <si>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</si>
  <si>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</si>
  <si>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</si>
  <si>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</si>
  <si>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</si>
  <si>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</si>
  <si>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</si>
  <si>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</si>
  <si>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</si>
  <si>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</si>
  <si>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</si>
  <si>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</si>
  <si>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</si>
  <si>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</si>
  <si>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</si>
  <si>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</si>
  <si>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</si>
  <si>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</si>
  <si>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</si>
  <si>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</si>
  <si>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</si>
  <si>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</si>
  <si>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</si>
  <si>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</si>
  <si>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</si>
  <si>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</si>
  <si>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</si>
  <si>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</si>
  <si>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</si>
  <si>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</si>
  <si>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</si>
  <si>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</si>
  <si>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</si>
  <si>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</si>
  <si>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</si>
  <si>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</si>
  <si>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</si>
  <si>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</si>
  <si>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</si>
  <si>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</si>
  <si>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</si>
  <si>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</si>
  <si>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</si>
  <si>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</si>
  <si>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</si>
  <si>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</si>
  <si>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</si>
  <si>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</si>
  <si>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</si>
  <si>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</si>
  <si>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</si>
  <si>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</si>
  <si>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</si>
  <si>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</si>
  <si>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</si>
  <si>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</si>
  <si>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</si>
  <si>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</si>
  <si>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</si>
  <si>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</si>
  <si>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</si>
  <si>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</si>
  <si>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</si>
  <si>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</si>
  <si>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</si>
  <si>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</si>
  <si>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</si>
  <si>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</si>
  <si>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</si>
  <si>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</si>
  <si>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</si>
  <si>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</si>
  <si>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</si>
  <si>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</si>
  <si>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</si>
  <si>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</si>
  <si>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</si>
  <si>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</si>
  <si>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</si>
  <si>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</si>
  <si>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</si>
  <si>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</si>
  <si>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</si>
  <si>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</si>
  <si>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</si>
  <si>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</si>
  <si>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</si>
  <si>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</si>
  <si>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</si>
  <si>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</si>
  <si>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</si>
  <si>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</si>
  <si>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</si>
  <si>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</si>
  <si>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</si>
  <si>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</si>
  <si>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</si>
  <si>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</si>
  <si>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</si>
  <si>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</si>
  <si>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</si>
  <si>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</si>
  <si>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</si>
  <si>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</si>
  <si>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</si>
  <si>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</si>
  <si>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</si>
  <si>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</si>
  <si>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</si>
  <si>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</si>
  <si>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</si>
  <si>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</si>
  <si>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</si>
  <si>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</si>
  <si>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</si>
  <si>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</si>
  <si>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</si>
  <si>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</si>
  <si>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</si>
  <si>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</si>
  <si>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</si>
  <si>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</si>
  <si>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</si>
  <si>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</si>
  <si>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</si>
  <si>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</si>
  <si>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</si>
  <si>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</si>
  <si>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</si>
  <si>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</si>
  <si>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</si>
  <si>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</si>
  <si>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</si>
  <si>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</si>
  <si>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</si>
  <si>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</si>
  <si>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</si>
  <si>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</si>
  <si>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</si>
  <si>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</si>
  <si>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</si>
  <si>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</si>
  <si>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</si>
  <si>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</si>
  <si>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</si>
  <si>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</si>
  <si>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</si>
  <si>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</si>
  <si>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</si>
  <si>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</si>
  <si>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</si>
  <si>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</si>
  <si>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</si>
  <si>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</si>
  <si>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</si>
  <si>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</si>
  <si>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</si>
  <si>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</si>
  <si>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</si>
  <si>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</si>
  <si>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</si>
  <si>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</si>
  <si>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</si>
  <si>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</si>
  <si>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</si>
  <si>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</si>
  <si>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</si>
  <si>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</si>
  <si>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</si>
  <si>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</si>
  <si>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</si>
  <si>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</si>
  <si>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</si>
  <si>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</si>
  <si>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</si>
  <si>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</si>
  <si>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</si>
  <si>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</si>
  <si>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</si>
  <si>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</si>
  <si>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</si>
  <si>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</si>
  <si>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</si>
  <si>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</si>
  <si>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</si>
  <si>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</si>
  <si>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</si>
  <si>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</si>
  <si>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</si>
  <si>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</si>
  <si>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</si>
  <si>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</si>
  <si>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</si>
  <si>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</si>
  <si>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</si>
  <si>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</si>
  <si>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</si>
  <si>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</si>
  <si>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</si>
  <si>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</si>
  <si>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</si>
  <si>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</si>
  <si>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</si>
  <si>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</si>
  <si>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</si>
  <si>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</si>
  <si>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</si>
  <si>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</si>
  <si>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</si>
  <si>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</si>
  <si>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</si>
  <si>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</si>
  <si>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</si>
  <si>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</si>
  <si>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</si>
  <si>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</si>
  <si>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</si>
  <si>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</si>
  <si>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</si>
  <si>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</si>
  <si>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</si>
  <si>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</si>
  <si>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</si>
  <si>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</si>
  <si>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</si>
  <si>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</si>
  <si>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</si>
  <si>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</si>
  <si>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</si>
  <si>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</si>
  <si>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</si>
  <si>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</si>
  <si>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</si>
  <si>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</si>
  <si>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</si>
  <si>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</si>
  <si>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</si>
  <si>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</si>
  <si>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</si>
  <si>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</si>
  <si>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</si>
  <si>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</si>
  <si>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</si>
  <si>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</si>
  <si>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</si>
  <si>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</si>
  <si>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</si>
  <si>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</si>
  <si>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</si>
  <si>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</si>
  <si>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</si>
  <si>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</si>
  <si>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</si>
  <si>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</si>
  <si>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</si>
  <si>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</si>
  <si>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</si>
  <si>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</si>
  <si>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</si>
  <si>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</si>
  <si>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</si>
  <si>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</si>
  <si>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</si>
  <si>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</si>
  <si>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</si>
  <si>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</si>
  <si>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</si>
  <si>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</si>
  <si>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</si>
  <si>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</si>
  <si>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</si>
  <si>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</si>
  <si>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</si>
  <si>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</si>
  <si>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</si>
  <si>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</si>
  <si>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</si>
  <si>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</si>
  <si>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</si>
  <si>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</si>
  <si>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</si>
  <si>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</si>
  <si>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</si>
  <si>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</si>
  <si>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</si>
  <si>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</si>
  <si>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</si>
  <si>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</si>
  <si>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</si>
  <si>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</si>
  <si>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</si>
  <si>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</si>
  <si>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</si>
  <si>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</si>
  <si>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</si>
  <si>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</si>
  <si>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</si>
  <si>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</si>
  <si>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</si>
  <si>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</si>
  <si>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</si>
  <si>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</si>
  <si>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</si>
  <si>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</si>
  <si>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</si>
  <si>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</si>
  <si>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</si>
  <si>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</si>
  <si>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</si>
  <si>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</si>
  <si>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</si>
  <si>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</si>
  <si>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</si>
  <si>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</si>
  <si>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</si>
  <si>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</si>
  <si>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</si>
  <si>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</si>
  <si>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</si>
  <si>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</si>
  <si>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</si>
  <si>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</si>
  <si>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</si>
  <si>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</si>
  <si>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</si>
  <si>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</si>
  <si>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</si>
  <si>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</si>
  <si>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</si>
  <si>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</si>
  <si>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</si>
  <si>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</si>
  <si>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</si>
  <si>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</si>
  <si>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</si>
  <si>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</si>
  <si>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</si>
  <si>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</si>
  <si>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</si>
  <si>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</si>
  <si>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</si>
  <si>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</si>
  <si>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</si>
  <si>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</si>
  <si>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</si>
  <si>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</si>
  <si>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</si>
  <si>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</si>
  <si>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</si>
  <si>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</si>
  <si>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</si>
  <si>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</si>
  <si>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</si>
  <si>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</si>
  <si>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</si>
  <si>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</si>
  <si>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</si>
  <si>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</si>
  <si>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</si>
  <si>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</si>
  <si>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</si>
  <si>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</si>
  <si>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</si>
  <si>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</si>
  <si>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</si>
  <si>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</si>
  <si>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</si>
  <si>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</si>
  <si>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</si>
  <si>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</si>
  <si>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</si>
  <si>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</si>
  <si>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</si>
  <si>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</si>
  <si>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</si>
  <si>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</si>
  <si>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</si>
  <si>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</si>
  <si>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</si>
  <si>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</si>
  <si>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</si>
  <si>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</si>
  <si>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</si>
  <si>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</si>
  <si>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</si>
  <si>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</si>
  <si>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</si>
  <si>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</si>
  <si>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</si>
  <si>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</si>
  <si>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</si>
  <si>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</si>
  <si>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</si>
  <si>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</si>
  <si>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</si>
  <si>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</si>
  <si>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</si>
  <si>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</si>
  <si>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</si>
  <si>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</si>
  <si>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</si>
  <si>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</si>
  <si>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</si>
  <si>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</si>
  <si>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</si>
  <si>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</si>
  <si>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</si>
  <si>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</si>
  <si>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</si>
  <si>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</si>
  <si>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</si>
  <si>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</si>
  <si>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</si>
  <si>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</si>
  <si>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</si>
  <si>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</si>
  <si>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</si>
  <si>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</si>
  <si>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</si>
  <si>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</si>
  <si>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</si>
  <si>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</si>
  <si>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</si>
  <si>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</si>
  <si>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</si>
  <si>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</si>
  <si>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</si>
  <si>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</si>
  <si>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</si>
  <si>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</si>
  <si>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</si>
  <si>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</si>
  <si>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</si>
  <si>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</si>
  <si>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</si>
  <si>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</si>
  <si>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</si>
  <si>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</si>
  <si>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</si>
  <si>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</si>
  <si>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</si>
  <si>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</si>
  <si>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</si>
  <si>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</si>
  <si>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</si>
  <si>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</si>
  <si>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</si>
  <si>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</si>
  <si>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</si>
  <si>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</si>
  <si>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</si>
  <si>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</si>
  <si>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</si>
  <si>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</si>
  <si>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</si>
  <si>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</si>
  <si>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</si>
  <si>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</si>
  <si>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</si>
  <si>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</si>
  <si>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</si>
  <si>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</si>
  <si>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</si>
  <si>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</si>
  <si>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</si>
  <si>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</si>
  <si>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</si>
  <si>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</si>
  <si>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</si>
  <si>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</si>
  <si>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</si>
  <si>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</si>
  <si>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</si>
  <si>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</si>
  <si>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</si>
  <si>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</si>
  <si>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</si>
  <si>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</si>
  <si>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</si>
  <si>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</si>
  <si>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</si>
  <si>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</si>
  <si>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</si>
  <si>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</si>
  <si>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</si>
  <si>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</si>
  <si>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</si>
  <si>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</si>
  <si>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</si>
  <si>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</si>
  <si>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</si>
  <si>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</si>
  <si>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</si>
  <si>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</si>
  <si>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</si>
  <si>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</si>
  <si>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</si>
  <si>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</si>
  <si>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</si>
  <si>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</si>
  <si>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</si>
  <si>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</si>
  <si>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</si>
  <si>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</si>
  <si>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</si>
  <si>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</si>
  <si>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</si>
  <si>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</si>
  <si>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</si>
  <si>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</si>
  <si>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</si>
  <si>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</si>
  <si>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</si>
  <si>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</si>
  <si>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</si>
  <si>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</si>
  <si>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</si>
  <si>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</si>
  <si>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</si>
  <si>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</si>
  <si>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</si>
  <si>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</si>
  <si>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</si>
  <si>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</si>
  <si>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</si>
  <si>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</si>
  <si>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</si>
  <si>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</si>
  <si>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</si>
  <si>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</si>
  <si>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</si>
  <si>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</si>
  <si>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</si>
  <si>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</si>
  <si>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</si>
  <si>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</si>
  <si>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</si>
  <si>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</si>
  <si>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</si>
  <si>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</si>
  <si>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</si>
  <si>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</si>
  <si>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</si>
  <si>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</si>
  <si>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</si>
  <si>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</si>
  <si>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</si>
  <si>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</si>
  <si>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</si>
  <si>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</si>
  <si>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</si>
  <si>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</si>
  <si>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</si>
  <si>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</si>
  <si>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</si>
  <si>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</si>
  <si>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</si>
  <si>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</si>
  <si>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</si>
  <si>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</si>
  <si>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</si>
  <si>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</si>
  <si>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</si>
  <si>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</si>
  <si>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</si>
  <si>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</si>
  <si>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</si>
  <si>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</si>
  <si>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</si>
  <si>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</si>
  <si>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</si>
  <si>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</si>
  <si>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</si>
  <si>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</si>
  <si>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</si>
  <si>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</si>
  <si>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</si>
  <si>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</si>
  <si>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</si>
  <si>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</si>
  <si>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</si>
  <si>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</si>
  <si>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</si>
  <si>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</si>
  <si>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</si>
  <si>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</si>
  <si>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</si>
  <si>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</si>
  <si>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</si>
  <si>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</si>
  <si>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</si>
  <si>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</si>
  <si>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</si>
  <si>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</si>
  <si>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</si>
  <si>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</si>
  <si>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</si>
  <si>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</si>
  <si>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</si>
  <si>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</si>
  <si>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</si>
  <si>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</si>
  <si>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</si>
  <si>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</si>
  <si>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</si>
  <si>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</si>
  <si>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</si>
  <si>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</si>
  <si>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</si>
  <si>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</si>
  <si>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</si>
  <si>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</si>
  <si>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</si>
  <si>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</si>
  <si>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</si>
  <si>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</si>
  <si>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</si>
  <si>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</si>
  <si>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</si>
  <si>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</si>
  <si>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</si>
  <si>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</si>
  <si>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</si>
  <si>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</si>
  <si>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</si>
  <si>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</si>
  <si>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</si>
  <si>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</si>
  <si>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</si>
  <si>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</si>
  <si>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</si>
  <si>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</si>
  <si>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</si>
  <si>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</si>
  <si>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</si>
  <si>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</si>
  <si>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</si>
  <si>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</si>
  <si>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</si>
  <si>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</si>
  <si>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</si>
  <si>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</si>
  <si>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</si>
  <si>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</si>
  <si>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</si>
  <si>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</si>
  <si>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</si>
  <si>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</si>
  <si>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</si>
  <si>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</si>
  <si>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</si>
  <si>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</si>
  <si>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</si>
  <si>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</si>
  <si>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</si>
  <si>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</si>
  <si>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</si>
  <si>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</si>
  <si>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</si>
  <si>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</si>
  <si>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</si>
  <si>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</si>
  <si>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</si>
  <si>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</si>
  <si>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</si>
  <si>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</si>
  <si>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</si>
  <si>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</si>
  <si>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</si>
  <si>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</si>
  <si>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</si>
  <si>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</si>
  <si>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</si>
  <si>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</si>
  <si>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</si>
  <si>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</si>
  <si>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</si>
  <si>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</si>
  <si>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</si>
  <si>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</si>
  <si>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</si>
  <si>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</si>
  <si>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</si>
  <si>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</si>
  <si>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</si>
  <si>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</si>
  <si>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</si>
  <si>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</si>
  <si>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</si>
  <si>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</si>
  <si>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</si>
  <si>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</si>
  <si>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</si>
  <si>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</si>
  <si>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</si>
  <si>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</si>
  <si>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</si>
  <si>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</si>
  <si>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</si>
  <si>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</si>
  <si>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</si>
  <si>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</si>
  <si>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</si>
  <si>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</si>
  <si>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</si>
  <si>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</si>
  <si>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</si>
  <si>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</si>
  <si>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</si>
  <si>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</si>
  <si>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</si>
  <si>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</si>
  <si>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</si>
  <si>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</si>
  <si>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</si>
  <si>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</si>
  <si>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</si>
  <si>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</si>
  <si>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</si>
  <si>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</si>
  <si>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</si>
  <si>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</si>
  <si>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</si>
  <si>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</si>
  <si>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</si>
  <si>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</si>
  <si>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</si>
  <si>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</si>
  <si>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</si>
  <si>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</si>
  <si>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</si>
  <si>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</si>
  <si>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</si>
  <si>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</si>
  <si>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</si>
  <si>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</si>
  <si>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</si>
  <si>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</si>
  <si>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</si>
  <si>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</si>
  <si>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</si>
  <si>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</si>
  <si>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</si>
  <si>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</si>
  <si>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</si>
  <si>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</si>
  <si>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</si>
  <si>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</si>
  <si>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</si>
  <si>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</si>
  <si>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</si>
  <si>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</si>
  <si>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</si>
  <si>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</si>
  <si>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MADRID</t>
  </si>
  <si>
    <t>Provincias</t>
  </si>
  <si>
    <t>Resumenes por Partidos Judiciales</t>
  </si>
  <si>
    <t>ARGANDA DEL REY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</si>
</sst>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ET3NNdhGe1UxixgAfny0By45xMLeXC5sOH/66GiJjcarT2xBsdazUXBJ18AawtCWOajzOGcmCcdEAHbsCFNxw==" saltValue="ZMq9ptQ3EQ/FxQ4oNTN81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MADRID</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37</v>
      </c>
      <c r="D10" s="239">
        <f>IF(ISNUMBER(Datos!I10),Datos!I10," - ")</f>
        <v>37</v>
      </c>
      <c r="E10" s="240">
        <f>IF(ISNUMBER(Datos!J10),Datos!J10," - ")</f>
        <v>44</v>
      </c>
      <c r="F10" s="240">
        <f>IF(ISNUMBER(Datos!K10),Datos!K10," - ")</f>
        <v>31</v>
      </c>
      <c r="G10" s="1390" t="str">
        <f>IF(Datos!E10&lt;&gt;"",Datos!E10,Datos!D10)</f>
        <v>37</v>
      </c>
      <c r="H10" s="241">
        <f>IF(ISNUMBER(Datos!L10),Datos!L10," - ")</f>
        <v>50</v>
      </c>
      <c r="I10" s="1400" t="str">
        <f>IF(ISNUMBER(Datos!AS10/Datos!BM10),Datos!AS10/Datos!BM10," - ")</f>
        <v xml:space="preserve"> - </v>
      </c>
      <c r="J10" s="1401">
        <f>IF(ISNUMBER(Datos!BY10/Datos!CN10),Datos!BY10/Datos!CN10," - ")</f>
        <v>0</v>
      </c>
      <c r="K10" s="244">
        <f t="shared" ref="K10:K13" si="1">IF(ISNUMBER((E10-F10)/C10),(E10-F10)/C10," - ")</f>
        <v>0.35135135135135137</v>
      </c>
      <c r="L10" s="1402">
        <f>IF(ISNUMBER(NºAsuntos!I10/NºAsuntos!G10),(NºAsuntos!I10/NºAsuntos!G10)*11," - ")</f>
        <v>17.741935483870968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9</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40.48018356278682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37</v>
      </c>
      <c r="D14" s="1407">
        <f>SUBTOTAL(9,D9:D13)</f>
        <v>37</v>
      </c>
      <c r="E14" s="1408">
        <f>SUBTOTAL(9,E9:E13)</f>
        <v>44</v>
      </c>
      <c r="F14" s="1409">
        <f>SUBTOTAL(9,F9:F13)</f>
        <v>31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9</v>
      </c>
      <c r="B17" s="1461" t="str">
        <f>Datos!A17</f>
        <v xml:space="preserve">Jdos. 1ª Instª. e Instr.                        </v>
      </c>
      <c r="C17" s="239">
        <f t="shared" si="2"/>
        <v>3893</v>
      </c>
      <c r="D17" s="239">
        <f>IF(ISNUMBER(IF(D_I="SI",Datos!I17,Datos!I17+Datos!AC17)),IF(D_I="SI",Datos!I17,Datos!I17+Datos!AC17)," - ")</f>
        <v>3839</v>
      </c>
      <c r="E17" s="240">
        <f>IF(ISNUMBER(IF(D_I="SI",Datos!J17,Datos!J17+Datos!AD17)),IF(D_I="SI",Datos!J17,Datos!J17+Datos!AD17)," - ")</f>
        <v>2642</v>
      </c>
      <c r="F17" s="240">
        <f>IF(ISNUMBER(IF(D_I="SI",Datos!K17,Datos!K17+Datos!AE17)),IF(D_I="SI",Datos!K17,Datos!K17+Datos!AE17)," - ")</f>
        <v>2524</v>
      </c>
      <c r="G17" s="1390" t="str">
        <f>IF(Datos!E17&lt;&gt;"",Datos!E17,Datos!D17)</f>
        <v>04</v>
      </c>
      <c r="H17" s="241">
        <f>IF(ISNUMBER(IF(D_I="SI",Datos!L17,Datos!L17+Datos!AF17)),IF(D_I="SI",Datos!L17,Datos!L17+Datos!AF17)," - ")</f>
        <v>4011</v>
      </c>
      <c r="I17" s="1400" t="str">
        <f>IF(ISNUMBER(Datos!AS17/Datos!BM17),Datos!AS17/Datos!BM17," - ")</f>
        <v xml:space="preserve"> - </v>
      </c>
      <c r="J17" s="1401">
        <f>IF(ISNUMBER(Datos!BY17/Datos!CN17),Datos!BY17/Datos!CN17," - ")</f>
        <v>0</v>
      </c>
      <c r="K17" s="244">
        <f t="shared" si="3"/>
        <v>3.0310814282044695E-2</v>
      </c>
      <c r="L17" s="1402">
        <f>IF(ISNUMBER(NºAsuntos!I17/NºAsuntos!G17),(NºAsuntos!I17/NºAsuntos!G17)*11," - ")</f>
        <v>17.480586370839937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108</v>
      </c>
      <c r="D18" s="239">
        <f>IF(ISNUMBER(IF(D_I="SI",Datos!I18,Datos!I18+Datos!AC18)),IF(D_I="SI",Datos!I18,Datos!I18+Datos!AC18)," - ")</f>
        <v>107</v>
      </c>
      <c r="E18" s="240">
        <f>IF(ISNUMBER(IF(D_I="SI",Datos!J18,Datos!J18+Datos!AD18)),IF(D_I="SI",Datos!J18,Datos!J18+Datos!AD18)," - ")</f>
        <v>349</v>
      </c>
      <c r="F18" s="240">
        <f>IF(ISNUMBER(IF(D_I="SI",Datos!K18,Datos!K18+Datos!AE18)),IF(D_I="SI",Datos!K18,Datos!K18+Datos!AE18)," - ")</f>
        <v>327</v>
      </c>
      <c r="G18" s="1390" t="str">
        <f>IF(Datos!E18&lt;&gt;"",Datos!E18,Datos!D18)</f>
        <v>37</v>
      </c>
      <c r="H18" s="241">
        <f>IF(ISNUMBER(IF(D_I="SI",Datos!L18,Datos!L18+Datos!AF18)),IF(D_I="SI",Datos!L18,Datos!L18+Datos!AF18)," - ")</f>
        <v>130</v>
      </c>
      <c r="I18" s="1400" t="str">
        <f>IF(ISNUMBER(Datos!AS18/Datos!BM18),Datos!AS18/Datos!BM18," - ")</f>
        <v xml:space="preserve"> - </v>
      </c>
      <c r="J18" s="1401" t="str">
        <f>IF(ISNUMBER((Datos!BY18+Datos!BZ18)/Datos!CN18),(Datos!BY18+Datos!BZ18)/Datos!CN18," - ")</f>
        <v xml:space="preserve"> - </v>
      </c>
      <c r="K18" s="244">
        <f t="shared" si="3"/>
        <v>0.20370370370370369</v>
      </c>
      <c r="L18" s="1402">
        <f>IF(ISNUMBER(NºAsuntos!I18/NºAsuntos!G18),(NºAsuntos!I18/NºAsuntos!G18)*11," - ")</f>
        <v>4.3730886850152899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4001</v>
      </c>
      <c r="D23" s="1407">
        <f>SUBTOTAL(9,D16:D22)</f>
        <v>3946</v>
      </c>
      <c r="E23" s="1408">
        <f>SUBTOTAL(9,E16:E22)</f>
        <v>2991</v>
      </c>
      <c r="F23" s="1408">
        <f>SUBTOTAL(9,F16:F22)</f>
        <v>2851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4038</v>
      </c>
      <c r="D31" s="1435">
        <f>SUBTOTAL(9,D9:D30)</f>
        <v>3983</v>
      </c>
      <c r="E31" s="1436">
        <f>SUBTOTAL(9,E9:E30)</f>
        <v>3035</v>
      </c>
      <c r="F31" s="1436">
        <f>SUBTOTAL(9,F9:F30)</f>
        <v>2882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bL65fGrnrFpdtj/vZwh6XltkUYfwmGpJHLtmQ+Rc09P7rcwisZ8UXAjz6zgdsYSoYT2IqPcHjy4WQB+Md8GdYw==" saltValue="Zypg4H2ooZKOac/E0HQX3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P1fQlzddJ0OS0IFQkacQ1YLGVt2F9Q/mHmd0Os2a12iSx+XMr0Qb60FnNqPblLyI03AVQhgW9f6c3EKaL9Ysyg==" saltValue="zMvuniLgOFKTmHw9FxP9+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37</v>
      </c>
      <c r="J10" s="194">
        <v>44</v>
      </c>
      <c r="K10" s="194">
        <v>31</v>
      </c>
      <c r="L10" s="194">
        <v>50</v>
      </c>
      <c r="M10" s="194">
        <v>12</v>
      </c>
      <c r="N10" s="194">
        <v>11</v>
      </c>
      <c r="O10" s="194">
        <v>15</v>
      </c>
      <c r="P10" s="194">
        <v>9</v>
      </c>
      <c r="Q10" s="194">
        <v>7</v>
      </c>
      <c r="R10" s="194">
        <v>90</v>
      </c>
      <c r="S10" s="194">
        <v>44</v>
      </c>
      <c r="T10" s="194">
        <v>55</v>
      </c>
      <c r="U10" s="194">
        <v>53</v>
      </c>
      <c r="V10" s="194">
        <v>46</v>
      </c>
      <c r="W10" s="194">
        <v>23</v>
      </c>
      <c r="X10" s="201">
        <v>14</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44</v>
      </c>
      <c r="AZ10" s="139">
        <f t="shared" si="0"/>
        <v>55</v>
      </c>
      <c r="BA10" s="139">
        <f t="shared" si="0"/>
        <v>53</v>
      </c>
      <c r="BB10" s="139">
        <f t="shared" si="0"/>
        <v>46</v>
      </c>
      <c r="BC10" s="135">
        <f t="shared" si="0"/>
        <v>23</v>
      </c>
      <c r="BD10" s="136">
        <f>IF(ISNUMBER(BA10/AZ10),BA10/AZ10," - ")</f>
        <v>0.96363636363636362</v>
      </c>
      <c r="BE10" s="137">
        <f>IF(ISNUMBER(BB10/BA10),BB10/BA10, " - ")</f>
        <v>0.86792452830188682</v>
      </c>
      <c r="BF10" s="137">
        <f>IF(ISNUMBER(BC10/BA10),BC10/BA10, " - ")</f>
        <v>0.43396226415094341</v>
      </c>
      <c r="BG10" s="209">
        <f>IF(ISNUMBER((AY10+AZ10)/BA10),(AY10+AZ10)/BA10," - ")</f>
        <v>1.8679245283018868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8229</v>
      </c>
      <c r="J12" s="196">
        <v>2400</v>
      </c>
      <c r="K12" s="196">
        <v>2156</v>
      </c>
      <c r="L12" s="196">
        <v>8473</v>
      </c>
      <c r="M12" s="196">
        <v>529</v>
      </c>
      <c r="N12" s="196">
        <v>1035</v>
      </c>
      <c r="O12" s="194">
        <v>843</v>
      </c>
      <c r="P12" s="196">
        <v>391</v>
      </c>
      <c r="Q12" s="196">
        <v>314</v>
      </c>
      <c r="R12" s="196">
        <v>9297</v>
      </c>
      <c r="S12" s="196">
        <v>6113</v>
      </c>
      <c r="T12" s="196">
        <v>2100</v>
      </c>
      <c r="U12" s="196">
        <v>1618</v>
      </c>
      <c r="V12" s="196">
        <v>6703</v>
      </c>
      <c r="W12" s="196">
        <v>382</v>
      </c>
      <c r="X12" s="202">
        <v>883</v>
      </c>
      <c r="Y12" s="204">
        <v>352</v>
      </c>
      <c r="Z12" s="194">
        <v>238</v>
      </c>
      <c r="AA12" s="194">
        <v>241</v>
      </c>
      <c r="AB12" s="194">
        <v>348</v>
      </c>
      <c r="AC12" s="196">
        <v>0</v>
      </c>
      <c r="AD12" s="196">
        <v>0</v>
      </c>
      <c r="AE12" s="196">
        <v>0</v>
      </c>
      <c r="AF12" s="202">
        <v>0</v>
      </c>
      <c r="AG12" s="215">
        <v>243</v>
      </c>
      <c r="AH12" s="196">
        <v>193</v>
      </c>
      <c r="AI12" s="196">
        <v>203</v>
      </c>
      <c r="AJ12" s="216">
        <v>259</v>
      </c>
      <c r="AK12" s="195">
        <v>0</v>
      </c>
      <c r="AL12" s="196">
        <v>0</v>
      </c>
      <c r="AM12" s="196">
        <v>0</v>
      </c>
      <c r="AN12" s="202">
        <v>0</v>
      </c>
      <c r="AO12" s="283">
        <v>9</v>
      </c>
      <c r="AP12" s="168">
        <v>9</v>
      </c>
      <c r="AQ12" s="168">
        <v>9</v>
      </c>
      <c r="AR12" s="167">
        <v>9</v>
      </c>
      <c r="AS12" s="381" t="s">
        <v>1075</v>
      </c>
      <c r="AT12" s="216"/>
      <c r="AU12" s="215"/>
      <c r="AV12" s="216"/>
      <c r="AW12" s="215"/>
      <c r="AX12" s="216"/>
      <c r="AY12" s="136">
        <f t="shared" si="1"/>
        <v>6356</v>
      </c>
      <c r="AZ12" s="137">
        <f t="shared" si="1"/>
        <v>2293</v>
      </c>
      <c r="BA12" s="137">
        <f t="shared" si="1"/>
        <v>1821</v>
      </c>
      <c r="BB12" s="137">
        <f t="shared" si="1"/>
        <v>6962</v>
      </c>
      <c r="BC12" s="135">
        <f>IF(ISNUMBER(X12),X12," - ")</f>
        <v>883</v>
      </c>
      <c r="BD12" s="136">
        <f t="shared" si="2"/>
        <v>0.79415612734409069</v>
      </c>
      <c r="BE12" s="137">
        <f t="shared" si="3"/>
        <v>3.8231740801757277</v>
      </c>
      <c r="BF12" s="137">
        <f t="shared" si="4"/>
        <v>0.48489840746842394</v>
      </c>
      <c r="BG12" s="209">
        <f t="shared" si="5"/>
        <v>4.7495881383855023</v>
      </c>
      <c r="BH12" s="168">
        <v>8</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8266</v>
      </c>
      <c r="J14" s="197">
        <f t="shared" si="7"/>
        <v>2444</v>
      </c>
      <c r="K14" s="197">
        <f t="shared" si="7"/>
        <v>2187</v>
      </c>
      <c r="L14" s="197">
        <f t="shared" si="7"/>
        <v>8523</v>
      </c>
      <c r="M14" s="197">
        <f t="shared" si="7"/>
        <v>541</v>
      </c>
      <c r="N14" s="197">
        <f t="shared" si="7"/>
        <v>1046</v>
      </c>
      <c r="O14" s="197">
        <f t="shared" si="7"/>
        <v>858</v>
      </c>
      <c r="P14" s="197">
        <f t="shared" si="7"/>
        <v>400</v>
      </c>
      <c r="Q14" s="197">
        <f t="shared" si="7"/>
        <v>321</v>
      </c>
      <c r="R14" s="197">
        <f t="shared" si="7"/>
        <v>9387</v>
      </c>
      <c r="S14" s="197">
        <f t="shared" si="7"/>
        <v>6157</v>
      </c>
      <c r="T14" s="197">
        <f t="shared" si="7"/>
        <v>2155</v>
      </c>
      <c r="U14" s="197">
        <f t="shared" si="7"/>
        <v>1671</v>
      </c>
      <c r="V14" s="197">
        <f t="shared" si="7"/>
        <v>6749</v>
      </c>
      <c r="W14" s="197">
        <f t="shared" si="7"/>
        <v>405</v>
      </c>
      <c r="X14" s="197">
        <f t="shared" si="7"/>
        <v>897</v>
      </c>
      <c r="Y14" s="197">
        <f t="shared" si="7"/>
        <v>352</v>
      </c>
      <c r="Z14" s="197">
        <f t="shared" si="7"/>
        <v>238</v>
      </c>
      <c r="AA14" s="197">
        <f t="shared" si="7"/>
        <v>241</v>
      </c>
      <c r="AB14" s="197">
        <f t="shared" si="7"/>
        <v>348</v>
      </c>
      <c r="AC14" s="197">
        <f t="shared" si="7"/>
        <v>0</v>
      </c>
      <c r="AD14" s="197">
        <f t="shared" si="7"/>
        <v>0</v>
      </c>
      <c r="AE14" s="197">
        <f t="shared" si="7"/>
        <v>0</v>
      </c>
      <c r="AF14" s="197">
        <f>SUBTOTAL(9,AF9:AF13)</f>
        <v>0</v>
      </c>
      <c r="AG14" s="197">
        <f t="shared" ref="AG14:AT14" si="8">SUBTOTAL(9,AG8:AG13)</f>
        <v>243</v>
      </c>
      <c r="AH14" s="197">
        <f t="shared" si="8"/>
        <v>193</v>
      </c>
      <c r="AI14" s="197">
        <f t="shared" si="8"/>
        <v>203</v>
      </c>
      <c r="AJ14" s="197">
        <f t="shared" si="8"/>
        <v>259</v>
      </c>
      <c r="AK14" s="197">
        <f t="shared" si="8"/>
        <v>0</v>
      </c>
      <c r="AL14" s="197">
        <f t="shared" si="8"/>
        <v>0</v>
      </c>
      <c r="AM14" s="197">
        <f t="shared" si="8"/>
        <v>0</v>
      </c>
      <c r="AN14" s="197">
        <f t="shared" si="8"/>
        <v>0</v>
      </c>
      <c r="AO14" s="197">
        <f t="shared" si="8"/>
        <v>10</v>
      </c>
      <c r="AP14" s="197">
        <f t="shared" si="8"/>
        <v>10</v>
      </c>
      <c r="AQ14" s="197">
        <f t="shared" si="8"/>
        <v>10</v>
      </c>
      <c r="AR14" s="197">
        <f t="shared" si="8"/>
        <v>10</v>
      </c>
      <c r="AS14" s="197">
        <f t="shared" si="8"/>
        <v>0</v>
      </c>
      <c r="AT14" s="197">
        <f t="shared" si="8"/>
        <v>0</v>
      </c>
      <c r="AU14" s="217"/>
      <c r="AV14" s="142"/>
      <c r="AW14" s="217"/>
      <c r="AX14" s="142"/>
      <c r="AY14" s="197">
        <f>SUBTOTAL(9,AY8:AY13)</f>
        <v>6400</v>
      </c>
      <c r="AZ14" s="197">
        <f>SUBTOTAL(9,AZ8:AZ13)</f>
        <v>2348</v>
      </c>
      <c r="BA14" s="197">
        <f>SUBTOTAL(9,BA8:BA13)</f>
        <v>1874</v>
      </c>
      <c r="BB14" s="197">
        <f>SUBTOTAL(9,BB8:BB13)</f>
        <v>7008</v>
      </c>
      <c r="BC14" s="197">
        <f>SUBTOTAL(9,BC8:BC13)</f>
        <v>906</v>
      </c>
      <c r="BD14" s="219">
        <f>IF(ISNUMBER(BA14/AZ14),BA14/AZ14," - ")</f>
        <v>0.7981260647359455</v>
      </c>
      <c r="BE14" s="220">
        <f>IF(ISNUMBER(BB14/BA14),BB14/BA14, " - ")</f>
        <v>3.7395944503735326</v>
      </c>
      <c r="BF14" s="220">
        <f>IF(ISNUMBER(BC14/BA14),BC14/BA14, " - ")</f>
        <v>0.48345784418356458</v>
      </c>
      <c r="BG14" s="221">
        <f>IF(ISNUMBER((AY14+AZ14)/BA14),(AY14+AZ14)/BA14," - ")</f>
        <v>4.6680896478121667</v>
      </c>
      <c r="BH14" s="153">
        <f>SUBTOTAL(9,BH8:BH13)</f>
        <v>9</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3839</v>
      </c>
      <c r="J17" s="196">
        <v>2642</v>
      </c>
      <c r="K17" s="196">
        <v>2524</v>
      </c>
      <c r="L17" s="196">
        <v>4011</v>
      </c>
      <c r="M17" s="196">
        <v>333</v>
      </c>
      <c r="N17" s="196">
        <v>1690</v>
      </c>
      <c r="O17" s="194">
        <v>48</v>
      </c>
      <c r="P17" s="196">
        <v>86</v>
      </c>
      <c r="Q17" s="196">
        <v>94</v>
      </c>
      <c r="R17" s="196">
        <v>540</v>
      </c>
      <c r="S17" s="196">
        <v>2803</v>
      </c>
      <c r="T17" s="196">
        <v>2801</v>
      </c>
      <c r="U17" s="196">
        <v>2885</v>
      </c>
      <c r="V17" s="196">
        <v>2961</v>
      </c>
      <c r="W17" s="196">
        <v>326</v>
      </c>
      <c r="X17" s="202">
        <v>2141</v>
      </c>
      <c r="Y17" s="215">
        <v>0</v>
      </c>
      <c r="Z17" s="196">
        <v>0</v>
      </c>
      <c r="AA17" s="196">
        <v>0</v>
      </c>
      <c r="AB17" s="196">
        <v>0</v>
      </c>
      <c r="AC17" s="196">
        <v>13</v>
      </c>
      <c r="AD17" s="196">
        <v>42</v>
      </c>
      <c r="AE17" s="196">
        <v>44</v>
      </c>
      <c r="AF17" s="202">
        <v>11</v>
      </c>
      <c r="AG17" s="215">
        <v>0</v>
      </c>
      <c r="AH17" s="196">
        <v>0</v>
      </c>
      <c r="AI17" s="196">
        <v>0</v>
      </c>
      <c r="AJ17" s="216">
        <v>0</v>
      </c>
      <c r="AK17" s="195">
        <v>1</v>
      </c>
      <c r="AL17" s="196">
        <v>17</v>
      </c>
      <c r="AM17" s="196">
        <v>17</v>
      </c>
      <c r="AN17" s="202">
        <v>1</v>
      </c>
      <c r="AO17" s="283">
        <v>9</v>
      </c>
      <c r="AP17" s="168">
        <v>9</v>
      </c>
      <c r="AQ17" s="168">
        <v>9</v>
      </c>
      <c r="AR17" s="168">
        <v>9</v>
      </c>
      <c r="AS17" s="381" t="s">
        <v>650</v>
      </c>
      <c r="AT17" s="216"/>
      <c r="AU17" s="215"/>
      <c r="AV17" s="216"/>
      <c r="AW17" s="215"/>
      <c r="AX17" s="216"/>
      <c r="AY17" s="136">
        <f t="shared" si="10"/>
        <v>2803</v>
      </c>
      <c r="AZ17" s="137">
        <f t="shared" si="10"/>
        <v>2801</v>
      </c>
      <c r="BA17" s="137">
        <f t="shared" si="10"/>
        <v>2885</v>
      </c>
      <c r="BB17" s="137">
        <f t="shared" si="10"/>
        <v>2961</v>
      </c>
      <c r="BC17" s="135">
        <f>IF(ISNUMBER(W17),W17," - ")</f>
        <v>326</v>
      </c>
      <c r="BD17" s="136">
        <f t="shared" ref="BD17:BD22" si="12">IF(ISNUMBER(BA17/AZ17),BA17/AZ17," - ")</f>
        <v>1.0299892895394502</v>
      </c>
      <c r="BE17" s="137">
        <f t="shared" ref="BE17:BE22" si="13">IF(ISNUMBER(BB17/BA17),BB17/BA17, " - ")</f>
        <v>1.0263431542461006</v>
      </c>
      <c r="BF17" s="137">
        <f t="shared" ref="BF17:BF22" si="14">IF(ISNUMBER(BC17/BA17),BC17/BA17, " - ")</f>
        <v>0.11299826689774697</v>
      </c>
      <c r="BG17" s="209">
        <f t="shared" si="11"/>
        <v>1.9424610051993068</v>
      </c>
      <c r="BH17" s="168">
        <v>8</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107</v>
      </c>
      <c r="J18" s="196">
        <v>349</v>
      </c>
      <c r="K18" s="196">
        <v>327</v>
      </c>
      <c r="L18" s="196">
        <v>130</v>
      </c>
      <c r="M18" s="196">
        <v>18</v>
      </c>
      <c r="N18" s="196">
        <v>173</v>
      </c>
      <c r="O18" s="196">
        <v>0</v>
      </c>
      <c r="P18" s="196">
        <v>1</v>
      </c>
      <c r="Q18" s="196">
        <v>0</v>
      </c>
      <c r="R18" s="196">
        <v>4</v>
      </c>
      <c r="S18" s="196">
        <v>177</v>
      </c>
      <c r="T18" s="196">
        <v>398</v>
      </c>
      <c r="U18" s="196">
        <v>423</v>
      </c>
      <c r="V18" s="196">
        <v>155</v>
      </c>
      <c r="W18" s="196">
        <v>18</v>
      </c>
      <c r="X18" s="202">
        <v>252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177</v>
      </c>
      <c r="AZ18" s="139">
        <f t="shared" si="15"/>
        <v>398</v>
      </c>
      <c r="BA18" s="139">
        <f t="shared" si="15"/>
        <v>423</v>
      </c>
      <c r="BB18" s="139">
        <f t="shared" si="15"/>
        <v>155</v>
      </c>
      <c r="BC18" s="135">
        <f>IF(ISNUMBER(W18),W18," - ")</f>
        <v>18</v>
      </c>
      <c r="BD18" s="136">
        <f>IF(ISNUMBER(BA18/AZ18),BA18/AZ18," - ")</f>
        <v>1.0628140703517588</v>
      </c>
      <c r="BE18" s="137">
        <f>IF(ISNUMBER(BB18/BA18),BB18/BA18, " - ")</f>
        <v>0.3664302600472813</v>
      </c>
      <c r="BF18" s="137">
        <f>IF(ISNUMBER(BC18/BA18),BC18/BA18, " - ")</f>
        <v>4.2553191489361701E-2</v>
      </c>
      <c r="BG18" s="209">
        <f>IF(ISNUMBER((AY18+AZ18)/BA18),(AY18+AZ18)/BA18," - ")</f>
        <v>1.3593380614657211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3946</v>
      </c>
      <c r="J23" s="197">
        <f t="shared" si="21"/>
        <v>2991</v>
      </c>
      <c r="K23" s="197">
        <f t="shared" si="21"/>
        <v>2851</v>
      </c>
      <c r="L23" s="197">
        <f t="shared" si="21"/>
        <v>4141</v>
      </c>
      <c r="M23" s="197">
        <f t="shared" si="21"/>
        <v>351</v>
      </c>
      <c r="N23" s="197">
        <f t="shared" si="21"/>
        <v>1863</v>
      </c>
      <c r="O23" s="197">
        <f t="shared" si="21"/>
        <v>48</v>
      </c>
      <c r="P23" s="197">
        <f t="shared" si="21"/>
        <v>87</v>
      </c>
      <c r="Q23" s="197">
        <f t="shared" si="21"/>
        <v>94</v>
      </c>
      <c r="R23" s="197">
        <f t="shared" si="21"/>
        <v>544</v>
      </c>
      <c r="S23" s="197">
        <f t="shared" si="21"/>
        <v>2980</v>
      </c>
      <c r="T23" s="197">
        <f t="shared" si="21"/>
        <v>3199</v>
      </c>
      <c r="U23" s="197">
        <f t="shared" si="21"/>
        <v>3308</v>
      </c>
      <c r="V23" s="197">
        <f t="shared" si="21"/>
        <v>3116</v>
      </c>
      <c r="W23" s="197">
        <f t="shared" si="21"/>
        <v>344</v>
      </c>
      <c r="X23" s="197">
        <f t="shared" si="21"/>
        <v>2393</v>
      </c>
      <c r="Y23" s="197">
        <f t="shared" si="21"/>
        <v>0</v>
      </c>
      <c r="Z23" s="197">
        <f t="shared" si="21"/>
        <v>0</v>
      </c>
      <c r="AA23" s="197">
        <f t="shared" si="21"/>
        <v>0</v>
      </c>
      <c r="AB23" s="197">
        <f t="shared" si="21"/>
        <v>0</v>
      </c>
      <c r="AC23" s="197">
        <f t="shared" si="21"/>
        <v>13</v>
      </c>
      <c r="AD23" s="197">
        <f t="shared" si="21"/>
        <v>42</v>
      </c>
      <c r="AE23" s="197">
        <f t="shared" si="21"/>
        <v>44</v>
      </c>
      <c r="AF23" s="197">
        <f t="shared" si="21"/>
        <v>11</v>
      </c>
      <c r="AG23" s="197">
        <f t="shared" si="21"/>
        <v>0</v>
      </c>
      <c r="AH23" s="197">
        <f t="shared" si="21"/>
        <v>0</v>
      </c>
      <c r="AI23" s="197">
        <f t="shared" si="21"/>
        <v>0</v>
      </c>
      <c r="AJ23" s="197">
        <f t="shared" si="21"/>
        <v>0</v>
      </c>
      <c r="AK23" s="197">
        <f t="shared" si="21"/>
        <v>1</v>
      </c>
      <c r="AL23" s="197">
        <f t="shared" si="21"/>
        <v>17</v>
      </c>
      <c r="AM23" s="197">
        <f t="shared" si="21"/>
        <v>17</v>
      </c>
      <c r="AN23" s="197">
        <f t="shared" si="21"/>
        <v>1</v>
      </c>
      <c r="AO23" s="197">
        <f t="shared" si="21"/>
        <v>10</v>
      </c>
      <c r="AP23" s="197">
        <f t="shared" si="21"/>
        <v>10</v>
      </c>
      <c r="AQ23" s="197">
        <f t="shared" si="21"/>
        <v>10</v>
      </c>
      <c r="AR23" s="197">
        <f t="shared" si="21"/>
        <v>10</v>
      </c>
      <c r="AS23" s="197">
        <f t="shared" si="21"/>
        <v>0</v>
      </c>
      <c r="AT23" s="197">
        <f t="shared" si="21"/>
        <v>0</v>
      </c>
      <c r="AU23" s="217"/>
      <c r="AV23" s="142"/>
      <c r="AW23" s="217"/>
      <c r="AX23" s="142"/>
      <c r="AY23" s="197">
        <f>SUBTOTAL(9,AY15:AY22)</f>
        <v>2980</v>
      </c>
      <c r="AZ23" s="197">
        <f>SUBTOTAL(9,AZ15:AZ22)</f>
        <v>3199</v>
      </c>
      <c r="BA23" s="197">
        <f>SUBTOTAL(9,BA15:BA22)</f>
        <v>3308</v>
      </c>
      <c r="BB23" s="197">
        <f>SUBTOTAL(9,BB15:BB22)</f>
        <v>3116</v>
      </c>
      <c r="BC23" s="197">
        <f>SUBTOTAL(9,BC15:BC22)</f>
        <v>344</v>
      </c>
      <c r="BD23" s="219">
        <f>IF(ISNUMBER(BA23/AZ23),BA23/AZ23," - ")</f>
        <v>1.0340731478587057</v>
      </c>
      <c r="BE23" s="220">
        <f>IF(ISNUMBER(BB23/BA23),BB23/BA23, " - ")</f>
        <v>0.94195888754534463</v>
      </c>
      <c r="BF23" s="220">
        <f>IF(ISNUMBER(BC23/BA23),BC23/BA23, " - ")</f>
        <v>0.10399032648125756</v>
      </c>
      <c r="BG23" s="221">
        <f>IF(ISNUMBER((AY23+AZ23)/BA23),(AY23+AZ23)/BA23," - ")</f>
        <v>1.8678960096735187</v>
      </c>
      <c r="BH23" s="197">
        <f>SUBTOTAL(9,BH15:BH22)</f>
        <v>9</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12212</v>
      </c>
      <c r="J31" s="144">
        <f t="shared" si="36"/>
        <v>5435</v>
      </c>
      <c r="K31" s="144">
        <f t="shared" si="36"/>
        <v>5038</v>
      </c>
      <c r="L31" s="144">
        <f t="shared" si="36"/>
        <v>12664</v>
      </c>
      <c r="M31" s="144">
        <f t="shared" si="36"/>
        <v>892</v>
      </c>
      <c r="N31" s="144">
        <f t="shared" si="36"/>
        <v>2909</v>
      </c>
      <c r="O31" s="144">
        <f t="shared" si="36"/>
        <v>906</v>
      </c>
      <c r="P31" s="144">
        <f t="shared" si="36"/>
        <v>487</v>
      </c>
      <c r="Q31" s="144">
        <f t="shared" si="36"/>
        <v>415</v>
      </c>
      <c r="R31" s="144">
        <f t="shared" si="36"/>
        <v>9931</v>
      </c>
      <c r="S31" s="144">
        <f t="shared" si="36"/>
        <v>9137</v>
      </c>
      <c r="T31" s="144">
        <f t="shared" si="36"/>
        <v>5354</v>
      </c>
      <c r="U31" s="144">
        <f t="shared" si="36"/>
        <v>4979</v>
      </c>
      <c r="V31" s="144">
        <f t="shared" si="36"/>
        <v>9865</v>
      </c>
      <c r="W31" s="144">
        <f t="shared" si="36"/>
        <v>749</v>
      </c>
      <c r="X31" s="144">
        <f t="shared" si="36"/>
        <v>3290</v>
      </c>
      <c r="Y31" s="144">
        <f t="shared" si="36"/>
        <v>352</v>
      </c>
      <c r="Z31" s="144">
        <f t="shared" si="36"/>
        <v>238</v>
      </c>
      <c r="AA31" s="144">
        <f t="shared" si="36"/>
        <v>241</v>
      </c>
      <c r="AB31" s="144">
        <f t="shared" si="36"/>
        <v>348</v>
      </c>
      <c r="AC31" s="144">
        <f t="shared" si="36"/>
        <v>13</v>
      </c>
      <c r="AD31" s="144">
        <f t="shared" si="36"/>
        <v>42</v>
      </c>
      <c r="AE31" s="144">
        <f t="shared" si="36"/>
        <v>44</v>
      </c>
      <c r="AF31" s="144">
        <f t="shared" si="36"/>
        <v>11</v>
      </c>
      <c r="AG31" s="144">
        <f t="shared" si="36"/>
        <v>243</v>
      </c>
      <c r="AH31" s="144">
        <f t="shared" si="36"/>
        <v>193</v>
      </c>
      <c r="AI31" s="144">
        <f t="shared" si="36"/>
        <v>203</v>
      </c>
      <c r="AJ31" s="144">
        <f t="shared" si="36"/>
        <v>259</v>
      </c>
      <c r="AK31" s="144">
        <f t="shared" si="36"/>
        <v>1</v>
      </c>
      <c r="AL31" s="144">
        <f t="shared" si="36"/>
        <v>17</v>
      </c>
      <c r="AM31" s="144">
        <f t="shared" si="36"/>
        <v>17</v>
      </c>
      <c r="AN31" s="224">
        <f t="shared" si="36"/>
        <v>1</v>
      </c>
      <c r="AO31" s="225">
        <v>10</v>
      </c>
      <c r="AP31" s="225">
        <v>10</v>
      </c>
      <c r="AQ31" s="225">
        <v>10</v>
      </c>
      <c r="AR31" s="225">
        <v>10</v>
      </c>
      <c r="AS31" s="166">
        <f t="shared" si="36"/>
        <v>0</v>
      </c>
      <c r="AT31" s="166">
        <f t="shared" si="36"/>
        <v>0</v>
      </c>
      <c r="AU31" s="225"/>
      <c r="AV31" s="226"/>
      <c r="AW31" s="225"/>
      <c r="AX31" s="226"/>
      <c r="AY31" s="143">
        <f>SUBTOTAL(9,AY9:AY30)</f>
        <v>9380</v>
      </c>
      <c r="AZ31" s="144">
        <f>SUBTOTAL(9,AZ9:AZ30)</f>
        <v>5547</v>
      </c>
      <c r="BA31" s="144">
        <f>SUBTOTAL(9,BA9:BA30)</f>
        <v>5182</v>
      </c>
      <c r="BB31" s="144">
        <f>SUBTOTAL(9,BB9:BB30)</f>
        <v>10124</v>
      </c>
      <c r="BC31" s="145">
        <f>SUBTOTAL(9,BC9:BC30)</f>
        <v>1250</v>
      </c>
      <c r="BD31" s="227">
        <f>IF(ISNUMBER(BA31/AZ31),BA31/AZ31," - ")</f>
        <v>0.93419866594555612</v>
      </c>
      <c r="BE31" s="224">
        <f>IF(ISNUMBER(BB31/BA31),BB31/BA31, " - ")</f>
        <v>1.9536858355847164</v>
      </c>
      <c r="BF31" s="224">
        <f>IF(ISNUMBER(BC31/BA31),BC31/BA31, " - ")</f>
        <v>0.24121960632960246</v>
      </c>
      <c r="BG31" s="145">
        <f>IF(ISNUMBER((AY31+AZ31)/BA31),(AY31+AZ31)/BA31," - ")</f>
        <v>2.8805480509455808</v>
      </c>
      <c r="BH31" s="225">
        <f>SUBTOTAL(9,BH9:BH30)</f>
        <v>18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8UWQRE2xTJN/s1nJIaMV13eWYoc+/tCSUmSNcJarYDXRQeTlcHwYd+070YYbalEA5pfEPbyjFU0QwKxAt06yeg==" saltValue="LtKAhlm5XBwDTYBiMf2vC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fZ8U6fO3XOa/fvx9ovUsW9OL2xlbv9RwPJLvr8dH+xvHURk9MaL87fBsMbCFpcrQZOU4WZ4qooYd8UsGyxiwA==" saltValue="jt8md8wxnCqrjw5r5S36Q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MADRID</v>
      </c>
      <c r="F1" s="578"/>
    </row>
    <row r="2" spans="1:74" ht="16.5" customHeight="1">
      <c r="C2" s="567" t="str">
        <f>Criterios!A10 &amp;"  "&amp;Criterios!B10 &amp; "  " &amp; IF(NOT(ISBLANK(Criterios!A11)),Criterios!A11 &amp;"  "&amp;Criterios!B11,"")</f>
        <v>Provincias  MADRID  Resumenes por Partidos Judiciales  ARGANDA DEL REY</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37</v>
      </c>
      <c r="G10" s="543">
        <f>IF(ISNUMBER(Datos!I10),Datos!I10," - ")</f>
        <v>37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9</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31</v>
      </c>
      <c r="AC10" s="547">
        <f>IF(ISNUMBER(Datos!Q10),Datos!Q10," - ")</f>
        <v>7</v>
      </c>
      <c r="AD10" s="549"/>
      <c r="AE10" s="563"/>
      <c r="AF10" s="551">
        <f>IF(ISNUMBER(Datos!L10),Datos!L10,"-")</f>
        <v>50</v>
      </c>
      <c r="AG10" s="549"/>
      <c r="AH10" s="549"/>
      <c r="AI10" s="549"/>
      <c r="AJ10" s="549"/>
      <c r="AK10" s="549"/>
      <c r="AL10" s="550"/>
      <c r="AM10" s="766">
        <f>IF(ISNUMBER(Datos!R10),Datos!R10," - ")</f>
        <v>90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12</v>
      </c>
      <c r="BD10" s="693">
        <f>IF(ISNUMBER(Datos!N10),Datos!N10," - ")</f>
        <v>11</v>
      </c>
      <c r="BE10" s="693" t="str">
        <f>IF(ISNUMBER(Datos!BW10),Datos!BW10," - ")</f>
        <v xml:space="preserve"> - </v>
      </c>
      <c r="BF10" s="762" t="str">
        <f>IF(ISNUMBER(Datos!BX10),Datos!BX10," - ")</f>
        <v xml:space="preserve"> - </v>
      </c>
      <c r="BG10" s="763">
        <f>IF(ISNUMBER(Datos!K10/Datos!J10),Datos!K10/Datos!J10," - ")</f>
        <v>0.70454545454545459</v>
      </c>
      <c r="BH10" s="764">
        <f>IF(ISNUMBER(((Datos!L10/Datos!K10)*11)/factor_trimestre),((Datos!L10/Datos!K10)*11)/factor_trimestre," - ")</f>
        <v>4.838709677419355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2.2727272727272728E-2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9</v>
      </c>
      <c r="B12" s="746" t="s">
        <v>321</v>
      </c>
      <c r="C12" s="747" t="str">
        <f>Datos!A12</f>
        <v xml:space="preserve">Jdos. 1ª Instª. e Instr.                        </v>
      </c>
      <c r="D12" s="601"/>
      <c r="E12" s="764">
        <f>IF(ISNUMBER(Datos!AQ12),Datos!AQ12," - ")</f>
        <v>9</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238</v>
      </c>
      <c r="O12" s="549"/>
      <c r="P12" s="549"/>
      <c r="Q12" s="547">
        <f>IF(ISNUMBER(Datos!P12),Datos!P12,0)</f>
        <v>391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314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348</v>
      </c>
      <c r="AI12" s="549" t="str">
        <f>IF(ISNUMBER(Datos!CD12),Datos!CD12,"-")</f>
        <v>-</v>
      </c>
      <c r="AJ12" s="549" t="str">
        <f>IF(ISNUMBER(Datos!EN12),Datos!EN12," - ")</f>
        <v xml:space="preserve"> - </v>
      </c>
      <c r="AK12" s="549"/>
      <c r="AL12" s="550"/>
      <c r="AM12" s="766">
        <f>IF(ISNUMBER(Datos!R12),Datos!R12," - ")</f>
        <v>9297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529</v>
      </c>
      <c r="BD12" s="693">
        <f>IF(ISNUMBER(Datos!N12),Datos!N12," - ")</f>
        <v>1035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0.90864291129643671</v>
      </c>
      <c r="BH12" s="764">
        <f>IF(ISNUMBER(((IF(J_V="SI",Datos!L12/Datos!K12,(Datos!L12+Datos!AB12)/(Datos!K12+Datos!AA12)))*11)/factor_trimestre),((IF(J_V="SI",Datos!L12/Datos!K12,(Datos!L12+Datos!AB12)/(Datos!K12+Datos!AA12)))*11)/factor_trimestre," - ")</f>
        <v>11.040050062578224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8.3514099783080255E-3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10</v>
      </c>
      <c r="F14" s="1197">
        <f t="shared" si="1"/>
        <v>37</v>
      </c>
      <c r="G14" s="1197">
        <f t="shared" si="1"/>
        <v>37</v>
      </c>
      <c r="H14" s="1198">
        <f t="shared" si="1"/>
        <v>0</v>
      </c>
      <c r="I14" s="1197">
        <f t="shared" si="1"/>
        <v>0</v>
      </c>
      <c r="J14" s="1164">
        <f t="shared" si="1"/>
        <v>0</v>
      </c>
      <c r="K14" s="1164">
        <f t="shared" si="1"/>
        <v>0</v>
      </c>
      <c r="L14" s="1198">
        <f t="shared" si="1"/>
        <v>0</v>
      </c>
      <c r="M14" s="1198">
        <f t="shared" si="1"/>
        <v>0</v>
      </c>
      <c r="N14" s="1198">
        <f t="shared" si="1"/>
        <v>238</v>
      </c>
      <c r="O14" s="1199">
        <f t="shared" si="1"/>
        <v>0</v>
      </c>
      <c r="P14" s="1199">
        <f t="shared" si="1"/>
        <v>0</v>
      </c>
      <c r="Q14" s="1198">
        <f t="shared" si="1"/>
        <v>400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31</v>
      </c>
      <c r="AC14" s="1198">
        <f t="shared" si="2"/>
        <v>321</v>
      </c>
      <c r="AD14" s="1198">
        <f t="shared" si="2"/>
        <v>0</v>
      </c>
      <c r="AE14" s="1198">
        <f t="shared" si="2"/>
        <v>0</v>
      </c>
      <c r="AF14" s="1198">
        <f t="shared" si="2"/>
        <v>50</v>
      </c>
      <c r="AG14" s="1198">
        <f t="shared" si="2"/>
        <v>0</v>
      </c>
      <c r="AH14" s="1198">
        <f t="shared" si="2"/>
        <v>348</v>
      </c>
      <c r="AI14" s="1198">
        <f t="shared" si="2"/>
        <v>0</v>
      </c>
      <c r="AJ14" s="1198">
        <f t="shared" si="2"/>
        <v>0</v>
      </c>
      <c r="AK14" s="1198">
        <f t="shared" si="2"/>
        <v>0</v>
      </c>
      <c r="AL14" s="1198">
        <f t="shared" si="2"/>
        <v>0</v>
      </c>
      <c r="AM14" s="1198">
        <f t="shared" si="2"/>
        <v>9387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541</v>
      </c>
      <c r="BD14" s="1198">
        <f t="shared" si="2"/>
        <v>1046</v>
      </c>
      <c r="BE14" s="1198">
        <f t="shared" si="2"/>
        <v>0</v>
      </c>
      <c r="BF14" s="1198">
        <f t="shared" si="2"/>
        <v>0</v>
      </c>
      <c r="BG14" s="1198">
        <f>IF(ISNUMBER(Datos!K14/Datos!J14),Datos!K14/Datos!J14," - ")</f>
        <v>0.89484451718494273</v>
      </c>
      <c r="BH14" s="1202">
        <f>IF(ISNUMBER(((Datos!L14/Datos!K14)*11)/factor_trimestre),((Datos!L14/Datos!K14)*11)/factor_trimestre," - ")</f>
        <v>11.691358024691359</v>
      </c>
      <c r="BI14" s="1198">
        <f>IF(ISNUMBER('Resol  Asuntos'!D14/NºAsuntos!G14),'Resol  Asuntos'!D14/NºAsuntos!G14," - ")</f>
        <v>0.22281713344316309</v>
      </c>
      <c r="BJ14" s="1198" t="str">
        <f>IF(ISNUMBER(Datos!CI14/Datos!CJ14),Datos!CI14/Datos!CJ14," - ")</f>
        <v xml:space="preserve"> - </v>
      </c>
      <c r="BK14" s="1198">
        <f>SUBTOTAL(9,BK8:BK13)</f>
        <v>0</v>
      </c>
      <c r="BL14" s="1198">
        <f>IF(ISNUMBER((I14-AB14+L14)/(F14)),(I14-AB14+L14)/(F14)," - ")</f>
        <v>-0.83783783783783783</v>
      </c>
      <c r="BM14" s="1203">
        <f>SUBTOTAL(9,BM9:BM13)</f>
        <v>3.1078682705580753E-2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9</v>
      </c>
      <c r="B17" s="737" t="s">
        <v>511</v>
      </c>
      <c r="C17" s="749" t="str">
        <f>Datos!A17</f>
        <v xml:space="preserve">Jdos. 1ª Instª. e Instr.                        </v>
      </c>
      <c r="D17" s="750"/>
      <c r="E17" s="1555">
        <f>IF(ISNUMBER(Datos!AQ17),Datos!AQ17," - ")</f>
        <v>9</v>
      </c>
      <c r="F17" s="740">
        <f>IF(ISNUMBER(AF17+AB17-Datos!J17-L17),AF17+AB17-Datos!J17-L17," - ")</f>
        <v>3893</v>
      </c>
      <c r="G17" s="743">
        <f>IF(ISNUMBER(IF(D_I="SI",Datos!I17,Datos!I17+Datos!AC17)),IF(D_I="SI",Datos!I17,Datos!I17+Datos!AC17)," - ")</f>
        <v>3839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86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2524</v>
      </c>
      <c r="AC17" s="240">
        <f>IF(ISNUMBER(Datos!Q17),Datos!Q17," - ")</f>
        <v>94</v>
      </c>
      <c r="AD17" s="374"/>
      <c r="AE17" s="562"/>
      <c r="AF17" s="741">
        <f>IF(ISNUMBER(IF(D_I="SI",Datos!L17,Datos!L17+Datos!AF17)),IF(D_I="SI",Datos!L17,Datos!L17+Datos!AF17)," - ")</f>
        <v>4011</v>
      </c>
      <c r="AG17" s="374"/>
      <c r="AH17" s="374"/>
      <c r="AI17" s="374"/>
      <c r="AJ17" s="549"/>
      <c r="AK17" s="374"/>
      <c r="AL17" s="545"/>
      <c r="AM17" s="375">
        <f>IF(ISNUMBER(Datos!R17),Datos!R17," - ")</f>
        <v>540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333</v>
      </c>
      <c r="BD17" s="243">
        <f>IF(ISNUMBER(Datos!N17),Datos!N17," - ")</f>
        <v>1690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0.95533686601059808</v>
      </c>
      <c r="BH17" s="764">
        <f>IF(ISNUMBER(((IF(D_I="SI",Datos!L17/Datos!K17,(Datos!L17+Datos!AF17)/(Datos!K17+Datos!AE17)))*11)/factor_trimestre),((IF(D_I="SI",Datos!L17/Datos!K17,(Datos!L17+Datos!AF17)/(Datos!K17+Datos!AE17)))*11)/factor_trimestre," - ")</f>
        <v>4.7674326465927104</v>
      </c>
      <c r="BI17" s="266">
        <f>IF(ISNUMBER('Resol  Asuntos'!D17/NºAsuntos!G17),'Resol  Asuntos'!D17/NºAsuntos!G17," - ")</f>
        <v>0.13193343898573692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107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327</v>
      </c>
      <c r="AC18" s="547">
        <f>IF(ISNUMBER(Datos!Q18),Datos!Q18," - ")</f>
        <v>0</v>
      </c>
      <c r="AD18" s="549"/>
      <c r="AE18" s="562"/>
      <c r="AF18" s="551">
        <f>IF(ISNUMBER(Datos!L18),Datos!L18,"-")</f>
        <v>130</v>
      </c>
      <c r="AG18" s="549"/>
      <c r="AH18" s="549"/>
      <c r="AI18" s="549"/>
      <c r="AJ18" s="549"/>
      <c r="AK18" s="549"/>
      <c r="AL18" s="550"/>
      <c r="AM18" s="766">
        <f>IF(ISNUMBER(Datos!R18),Datos!R18," - ")</f>
        <v>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18</v>
      </c>
      <c r="BD18" s="693">
        <f>IF(ISNUMBER(Datos!N18),Datos!N18," - ")</f>
        <v>173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0.93696275071633239</v>
      </c>
      <c r="BH18" s="764">
        <f>IF(ISNUMBER(((IF(D_I="SI",Datos!L18/Datos!K18,(Datos!L18+Datos!AF18)/(Datos!K18+Datos!AE18)))*11)/factor_trimestre),((IF(D_I="SI",Datos!L18/Datos!K18,(Datos!L18+Datos!AF18)/(Datos!K18+Datos!AE18)))*11)/factor_trimestre," - ")</f>
        <v>1.1926605504587156</v>
      </c>
      <c r="BI18" s="763">
        <f>IF(ISNUMBER('Resol  Asuntos'!D18/NºAsuntos!G18),'Resol  Asuntos'!D18/NºAsuntos!G18," - ")</f>
        <v>5.5045871559633031E-2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10</v>
      </c>
      <c r="F23" s="1197">
        <f>SUBTOTAL(9,F16:F22)</f>
        <v>3893</v>
      </c>
      <c r="G23" s="1197">
        <f>SUBTOTAL(9,G16:G22)</f>
        <v>3946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87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2851</v>
      </c>
      <c r="AC23" s="1198">
        <f t="shared" si="5"/>
        <v>94</v>
      </c>
      <c r="AD23" s="1198">
        <f t="shared" si="5"/>
        <v>0</v>
      </c>
      <c r="AE23" s="1198">
        <f t="shared" si="5"/>
        <v>0</v>
      </c>
      <c r="AF23" s="1198">
        <f t="shared" si="5"/>
        <v>4141</v>
      </c>
      <c r="AG23" s="1198">
        <f t="shared" si="5"/>
        <v>0</v>
      </c>
      <c r="AH23" s="1198">
        <f t="shared" si="5"/>
        <v>0</v>
      </c>
      <c r="AI23" s="1198">
        <f t="shared" si="5"/>
        <v>0</v>
      </c>
      <c r="AJ23" s="1198">
        <f t="shared" si="5"/>
        <v>0</v>
      </c>
      <c r="AK23" s="1198">
        <f t="shared" si="5"/>
        <v>0</v>
      </c>
      <c r="AL23" s="1198">
        <f t="shared" si="5"/>
        <v>0</v>
      </c>
      <c r="AM23" s="1198">
        <f t="shared" si="5"/>
        <v>544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351</v>
      </c>
      <c r="BD23" s="1198">
        <f t="shared" si="5"/>
        <v>1863</v>
      </c>
      <c r="BE23" s="1198">
        <f t="shared" si="5"/>
        <v>0</v>
      </c>
      <c r="BF23" s="1198">
        <f t="shared" si="5"/>
        <v>0</v>
      </c>
      <c r="BG23" s="1198">
        <f>IF(ISNUMBER(Datos!K23/Datos!J23),Datos!K23/Datos!J23," - ")</f>
        <v>0.95319291206954193</v>
      </c>
      <c r="BH23" s="1202">
        <f>IF(ISNUMBER(((Datos!L23/Datos!K23)*11)/factor_trimestre),((Datos!L23/Datos!K23)*11)/factor_trimestre," - ")</f>
        <v>4.3574184496667838</v>
      </c>
      <c r="BI23" s="1198">
        <f>SUBTOTAL(9,BI16:BI22)</f>
        <v>0.18697931054536995</v>
      </c>
      <c r="BJ23" s="1198">
        <f>SUBTOTAL(9,BJ16:BJ22)</f>
        <v>0</v>
      </c>
      <c r="BK23" s="1198">
        <f>SUBTOTAL(9,BK16:BK22)</f>
        <v>0</v>
      </c>
      <c r="BL23" s="1198">
        <f>IF(ISNUMBER((I23-AB23+L23)/(F23)),(I23-AB23+L23)/(F23)," - ")</f>
        <v>-0.73234009761109686</v>
      </c>
      <c r="BM23" s="1205">
        <f>IF(ISNUMBER((Datos!P23-Datos!Q23)/(Datos!R23-Datos!P23+Datos!Q23)),(Datos!P23-Datos!Q23)/(Datos!R23-Datos!P23+Datos!Q23)," - ")</f>
        <v>-1.2704174228675136E-2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20</v>
      </c>
      <c r="F31" s="1117">
        <f t="shared" si="18"/>
        <v>3930</v>
      </c>
      <c r="G31" s="1117">
        <f t="shared" si="18"/>
        <v>3983</v>
      </c>
      <c r="H31" s="1119">
        <f t="shared" si="18"/>
        <v>0</v>
      </c>
      <c r="I31" s="1117">
        <f t="shared" si="18"/>
        <v>0</v>
      </c>
      <c r="J31" s="1119">
        <f t="shared" si="18"/>
        <v>0</v>
      </c>
      <c r="K31" s="1119">
        <f t="shared" si="18"/>
        <v>0</v>
      </c>
      <c r="L31" s="1180">
        <f t="shared" si="18"/>
        <v>0</v>
      </c>
      <c r="M31" s="1180">
        <f t="shared" si="18"/>
        <v>0</v>
      </c>
      <c r="N31" s="1180">
        <f t="shared" si="18"/>
        <v>238</v>
      </c>
      <c r="O31" s="1180">
        <f t="shared" si="18"/>
        <v>0</v>
      </c>
      <c r="P31" s="1180">
        <f t="shared" si="18"/>
        <v>0</v>
      </c>
      <c r="Q31" s="1119">
        <f t="shared" si="18"/>
        <v>487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2882</v>
      </c>
      <c r="AC31" s="1118">
        <f t="shared" si="19"/>
        <v>415</v>
      </c>
      <c r="AD31" s="1118">
        <f t="shared" si="19"/>
        <v>0</v>
      </c>
      <c r="AE31" s="1118">
        <f t="shared" si="19"/>
        <v>0</v>
      </c>
      <c r="AF31" s="1125">
        <f t="shared" si="19"/>
        <v>4191</v>
      </c>
      <c r="AG31" s="1125">
        <f t="shared" si="19"/>
        <v>0</v>
      </c>
      <c r="AH31" s="1125">
        <f t="shared" si="19"/>
        <v>348</v>
      </c>
      <c r="AI31" s="1125">
        <f t="shared" si="19"/>
        <v>0</v>
      </c>
      <c r="AJ31" s="1118">
        <f t="shared" si="19"/>
        <v>0</v>
      </c>
      <c r="AK31" s="1125">
        <f t="shared" si="19"/>
        <v>0</v>
      </c>
      <c r="AL31" s="1125">
        <f t="shared" si="19"/>
        <v>0</v>
      </c>
      <c r="AM31" s="1125">
        <f t="shared" si="19"/>
        <v>9931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892</v>
      </c>
      <c r="BD31" s="1117">
        <f t="shared" si="19"/>
        <v>2909</v>
      </c>
      <c r="BE31" s="1117">
        <f t="shared" si="19"/>
        <v>0</v>
      </c>
      <c r="BF31" s="1127">
        <f t="shared" si="19"/>
        <v>0</v>
      </c>
      <c r="BG31" s="1223">
        <f>IF(ISNUMBER(Datos!K31/Datos!J31),Datos!K31/Datos!J31," - ")</f>
        <v>0.92695492180312788</v>
      </c>
      <c r="BH31" s="1223">
        <f>IF(ISNUMBER(((Datos!L31/Datos!K31)*11)/factor_trimestre),((Datos!L31/Datos!K31)*11)/factor_trimestre," - ")</f>
        <v>7.5410877332274717</v>
      </c>
      <c r="BI31" s="1103">
        <f>IF(ISNUMBER(Datos!J31/Datos!I31),Datos!J31/Datos!I31," - ")</f>
        <v>0.44505404520144121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-0.73333333333333328</v>
      </c>
      <c r="BM31" s="1188">
        <f>IF(ISNUMBER((Datos!P31-Datos!Q31+R31)/(Datos!R31-Datos!P31+Datos!Q31-R31)),(Datos!P31-Datos!Q31+R31)/(Datos!R31-Datos!P31+Datos!Q31-R31)," - ")</f>
        <v>7.3029719038442036E-3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1138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3.9425701831575308</v>
      </c>
      <c r="F33" s="673">
        <f>IF(ISNUMBER(STDEV(F8:F30)),STDEV(F8:F30),"-")</f>
        <v>2000.8516186864033</v>
      </c>
      <c r="G33" s="674">
        <f>IF(ISNUMBER(STDEV(G8:G30)),STDEV(G8:G30),"-")</f>
        <v>1882.2732709855566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1282.0157119607723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241.7933001553186</v>
      </c>
      <c r="BD33" s="673"/>
      <c r="BE33" s="673">
        <f>IF(ISNUMBER(STDEV(BE8:BE30)),STDEV(BE8:BE30),"-")</f>
        <v>0</v>
      </c>
      <c r="BF33" s="678">
        <f>IF(ISNUMBER(STDEV(BF8:BF30)),STDEV(BF8:BF30),"-")</f>
        <v>0</v>
      </c>
      <c r="BG33" s="1052">
        <f>IF(ISNUMBER(STDEV(BG8:BG30)),STDEV(BG8:BG30),"-")</f>
        <v>9.5080677961447549E-2</v>
      </c>
      <c r="BH33" s="1058">
        <f>IF(ISNUMBER(STDEV(BH8:BH30)),STDEV(BH8:BH30),"-")</f>
        <v>4.144302294942487</v>
      </c>
      <c r="BI33" s="273">
        <f>IF(ISNUMBER(STDEV(BI8:BI30)),STDEV(BI8:BI30),"-")</f>
        <v>7.3052247344704682E-2</v>
      </c>
      <c r="BJ33" s="244" t="str">
        <f>IF(ISNUMBER(BL33/BM33),BL33/BM33," - ")</f>
        <v xml:space="preserve"> - </v>
      </c>
      <c r="BK33" s="709"/>
      <c r="BL33" s="681">
        <f>IF(ISNUMBER(STDEV(BL8:BL30)),STDEV(BL8:BL30),"-")</f>
        <v>7.4598167514185354E-2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9z+wXybHnQJbGUkjZdVyWg/r/z6ZFFK8tNBuJXhzAOxJ5tR40oFoP6IW13mwp5nsUzfrd1nZwVIRc237q0azcA==" saltValue="PZIvKcnxZD1lv1L23vDr7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MADRID</v>
      </c>
    </row>
    <row r="2" spans="1:73" ht="16.5" customHeight="1">
      <c r="C2" s="647" t="str">
        <f>Criterios!A10 &amp;"  "&amp;Criterios!B10 &amp; "  " &amp; IF(NOT(ISBLANK(Criterios!A11)),Criterios!A11 &amp;"  "&amp;Criterios!B11,"")</f>
        <v>Provincias  MADRID  Resumenes por Partidos Judiciales  ARGANDA DEL REY</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37</v>
      </c>
      <c r="G10" s="552">
        <f>IF(ISNUMBER(Datos!I10),Datos!I10," - ")</f>
        <v>37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9</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31</v>
      </c>
      <c r="Z10" s="805">
        <f>IF(ISNUMBER(Datos!Q10),Datos!Q10," - ")</f>
        <v>7</v>
      </c>
      <c r="AA10" s="551">
        <f>IF(ISNUMBER(Datos!L10),Datos!L10,"-")</f>
        <v>50</v>
      </c>
      <c r="AB10" s="549"/>
      <c r="AC10" s="549"/>
      <c r="AD10" s="563"/>
      <c r="AE10" s="563">
        <f>IF(ISNUMBER(Datos!R10),Datos!R10," - ")</f>
        <v>90</v>
      </c>
      <c r="AF10" s="693" t="str">
        <f>IF(ISNUMBER(Datos!BV10),Datos!BV10," - ")</f>
        <v xml:space="preserve"> - </v>
      </c>
      <c r="AG10" s="552" t="str">
        <f>IF(ISNUMBER(Datos!DV10),Datos!DV10," - ")</f>
        <v xml:space="preserve"> - </v>
      </c>
      <c r="AH10" s="553"/>
      <c r="AI10" s="554"/>
      <c r="AJ10" s="552">
        <f>IF(ISNUMBER(Datos!M10),Datos!M10," - ")</f>
        <v>12</v>
      </c>
      <c r="AK10" s="693">
        <f>IF(ISNUMBER(Datos!N10),Datos!N10," - ")</f>
        <v>11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4.838709677419355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2.2727272727272728E-2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9</v>
      </c>
      <c r="B12" s="746" t="s">
        <v>321</v>
      </c>
      <c r="C12" s="747" t="str">
        <f>Datos!A12</f>
        <v xml:space="preserve">Jdos. 1ª Instª. e Instr.                        </v>
      </c>
      <c r="D12" s="601"/>
      <c r="E12" s="1558">
        <f>IF(ISNUMBER(Datos!AQ12),Datos!AQ12," - ")</f>
        <v>9</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391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314</v>
      </c>
      <c r="AA12" s="551" t="str">
        <f>IF(ISNUMBER(IF(J_V="SI",Datos!L12,Datos!L12+Datos!AB12)-IF(Monitorios="SI",Datos!CD12,0)),
                          IF(J_V="SI",Datos!L12,Datos!L12+Datos!AB12)-IF(Monitorios="SI",Datos!CD12,0),
                          " - ")</f>
        <v xml:space="preserve"> - </v>
      </c>
      <c r="AB12" s="549"/>
      <c r="AC12" s="549"/>
      <c r="AD12" s="563"/>
      <c r="AE12" s="563">
        <f>IF(ISNUMBER(Datos!R12),Datos!R12," - ")</f>
        <v>9297</v>
      </c>
      <c r="AF12" s="693" t="str">
        <f>IF(ISNUMBER(Datos!BV12),Datos!BV12," - ")</f>
        <v xml:space="preserve"> - </v>
      </c>
      <c r="AG12" s="552" t="str">
        <f>IF(ISNUMBER(Datos!DV12),Datos!DV12," - ")</f>
        <v xml:space="preserve"> - </v>
      </c>
      <c r="AH12" s="553"/>
      <c r="AI12" s="554"/>
      <c r="AJ12" s="552">
        <f>IF(ISNUMBER(Datos!M12),Datos!M12," - ")</f>
        <v>529</v>
      </c>
      <c r="AK12" s="693">
        <f>IF(ISNUMBER(Datos!N12),Datos!N12," - ")</f>
        <v>1035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11.040050062578224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8.3514099783080255E-3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10</v>
      </c>
      <c r="F14" s="1197">
        <f>SUBTOTAL(9,F8:F13)</f>
        <v>37</v>
      </c>
      <c r="G14" s="1197">
        <f>SUBTOTAL(9,G8:G13)</f>
        <v>37</v>
      </c>
      <c r="H14" s="1211"/>
      <c r="I14" s="1197">
        <f t="shared" ref="I14:N14" si="1">SUBTOTAL(9,I8:I13)</f>
        <v>0</v>
      </c>
      <c r="J14" s="1164">
        <f t="shared" si="1"/>
        <v>0</v>
      </c>
      <c r="K14" s="1211">
        <f t="shared" si="1"/>
        <v>0</v>
      </c>
      <c r="L14" s="1211">
        <f t="shared" si="1"/>
        <v>0</v>
      </c>
      <c r="M14" s="1211">
        <f t="shared" si="1"/>
        <v>0</v>
      </c>
      <c r="N14" s="1211">
        <f t="shared" si="1"/>
        <v>400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31</v>
      </c>
      <c r="Z14" s="1210">
        <f t="shared" si="3"/>
        <v>321</v>
      </c>
      <c r="AA14" s="1199">
        <f t="shared" si="3"/>
        <v>50</v>
      </c>
      <c r="AB14" s="1199">
        <f t="shared" si="3"/>
        <v>0</v>
      </c>
      <c r="AC14" s="1199">
        <f t="shared" si="3"/>
        <v>0</v>
      </c>
      <c r="AD14" s="1199">
        <f t="shared" si="3"/>
        <v>0</v>
      </c>
      <c r="AE14" s="1199">
        <f t="shared" si="3"/>
        <v>9387</v>
      </c>
      <c r="AF14" s="1211">
        <f t="shared" si="3"/>
        <v>0</v>
      </c>
      <c r="AG14" s="1211">
        <f t="shared" si="3"/>
        <v>0</v>
      </c>
      <c r="AH14" s="1211">
        <f t="shared" si="3"/>
        <v>0</v>
      </c>
      <c r="AI14" s="1211">
        <f t="shared" si="3"/>
        <v>0</v>
      </c>
      <c r="AJ14" s="1211">
        <f t="shared" si="3"/>
        <v>541</v>
      </c>
      <c r="AK14" s="1211">
        <f t="shared" si="3"/>
        <v>1046</v>
      </c>
      <c r="AL14" s="1211">
        <f t="shared" si="3"/>
        <v>0</v>
      </c>
      <c r="AM14" s="1211">
        <f t="shared" si="3"/>
        <v>0</v>
      </c>
      <c r="AN14" s="1211">
        <f t="shared" si="3"/>
        <v>0</v>
      </c>
      <c r="AO14" s="1203">
        <f>IF(ISNUMBER(((NºAsuntos!I14/NºAsuntos!G14)*11)/factor_trimestre),((NºAsuntos!I14/NºAsuntos!G14)*11)/factor_trimestre," - ")</f>
        <v>10.960873146622735</v>
      </c>
      <c r="AP14" s="1213" t="str">
        <f>IF(ISNUMBER(Datos!CI14/Datos!CJ14),Datos!CI14/Datos!CJ14," - ")</f>
        <v xml:space="preserve"> - </v>
      </c>
      <c r="AQ14" s="1236">
        <f t="shared" ref="AQ14:AV14" si="4">SUBTOTAL(9,AQ9:AQ13)</f>
        <v>0</v>
      </c>
      <c r="AR14" s="1236">
        <f t="shared" si="4"/>
        <v>3.1078682705580753E-2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9</v>
      </c>
      <c r="B17" s="746" t="s">
        <v>511</v>
      </c>
      <c r="C17" s="765" t="str">
        <f>Datos!A17</f>
        <v xml:space="preserve">Jdos. 1ª Instª. e Instr.                        </v>
      </c>
      <c r="D17" s="593"/>
      <c r="E17" s="1558">
        <f>IF(ISNUMBER(Datos!AQ17),Datos!AQ17," - ")</f>
        <v>9</v>
      </c>
      <c r="F17" s="543">
        <f>IF(ISNUMBER(AA17+Y17-Datos!J17-K16),AA17+Y17-Datos!J17-K16," - ")</f>
        <v>3893</v>
      </c>
      <c r="G17" s="552">
        <f>IF(ISNUMBER(IF(D_I="SI",Datos!I17,Datos!I17+Datos!AC17)),IF(D_I="SI",Datos!I17,Datos!I17+Datos!AC17)," - ")</f>
        <v>3839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86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2524</v>
      </c>
      <c r="Z17" s="805">
        <f>IF(ISNUMBER(Datos!Q17),Datos!Q17," - ")</f>
        <v>94</v>
      </c>
      <c r="AA17" s="551">
        <f>IF(ISNUMBER(IF(D_I="SI",Datos!L17,Datos!L17+Datos!AF17)),IF(D_I="SI",Datos!L17,Datos!L17+Datos!AF17)," - ")</f>
        <v>4011</v>
      </c>
      <c r="AB17" s="549"/>
      <c r="AC17" s="549"/>
      <c r="AD17" s="563"/>
      <c r="AE17" s="563">
        <f>IF(ISNUMBER(Datos!R17),Datos!R17," - ")</f>
        <v>540</v>
      </c>
      <c r="AF17" s="693" t="str">
        <f>IF(ISNUMBER(Datos!BV17),Datos!BV17," - ")</f>
        <v xml:space="preserve"> - </v>
      </c>
      <c r="AG17" s="552"/>
      <c r="AH17" s="553"/>
      <c r="AI17" s="554"/>
      <c r="AJ17" s="552">
        <f>IF(ISNUMBER(Datos!M17),Datos!M17," - ")</f>
        <v>333</v>
      </c>
      <c r="AK17" s="693">
        <f>IF(ISNUMBER(Datos!N17),Datos!N17," - ")</f>
        <v>1690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4.7674326465927104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107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327</v>
      </c>
      <c r="Z18" s="805">
        <f>IF(ISNUMBER(Datos!Q18),Datos!Q18," - ")</f>
        <v>0</v>
      </c>
      <c r="AA18" s="551">
        <f>IF(ISNUMBER(Datos!L18),Datos!L18,"-")</f>
        <v>130</v>
      </c>
      <c r="AB18" s="549"/>
      <c r="AC18" s="549"/>
      <c r="AD18" s="563"/>
      <c r="AE18" s="563">
        <f>IF(ISNUMBER(Datos!R18),Datos!R18," - ")</f>
        <v>4</v>
      </c>
      <c r="AF18" s="693" t="str">
        <f>IF(ISNUMBER(Datos!BV18),Datos!BV18," - ")</f>
        <v xml:space="preserve"> - </v>
      </c>
      <c r="AG18" s="552" t="str">
        <f>IF(ISNUMBER(Datos!DV18),Datos!DV18," - ")</f>
        <v xml:space="preserve"> - </v>
      </c>
      <c r="AH18" s="553"/>
      <c r="AI18" s="554"/>
      <c r="AJ18" s="552">
        <f>IF(ISNUMBER(Datos!M18),Datos!M18," - ")</f>
        <v>18</v>
      </c>
      <c r="AK18" s="693">
        <f>IF(ISNUMBER(Datos!N18),Datos!N18," - ")</f>
        <v>173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1.1926605504587156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10</v>
      </c>
      <c r="F23" s="1197">
        <f>SUBTOTAL(9,F16:F22)</f>
        <v>3893</v>
      </c>
      <c r="G23" s="1197">
        <f>SUBTOTAL(9,G16:G22)</f>
        <v>3946</v>
      </c>
      <c r="H23" s="1240">
        <f>SUBTOTAL(9,H16:H22)</f>
        <v>0</v>
      </c>
      <c r="I23" s="1217">
        <f>SUBTOTAL(9,I16:I22)</f>
        <v>0</v>
      </c>
      <c r="J23" s="1164">
        <f>SUBTOTAL(9,J15:J22)</f>
        <v>0</v>
      </c>
      <c r="K23" s="1240">
        <f t="shared" ref="K23:S23" si="5">SUBTOTAL(9,K16:K22)</f>
        <v>0</v>
      </c>
      <c r="L23" s="1240">
        <f t="shared" si="5"/>
        <v>0</v>
      </c>
      <c r="M23" s="1240">
        <f t="shared" si="5"/>
        <v>0</v>
      </c>
      <c r="N23" s="1240">
        <f t="shared" si="5"/>
        <v>87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2851</v>
      </c>
      <c r="Z23" s="1240">
        <f t="shared" si="6"/>
        <v>94</v>
      </c>
      <c r="AA23" s="1240">
        <f t="shared" si="6"/>
        <v>4141</v>
      </c>
      <c r="AB23" s="1240">
        <f t="shared" si="6"/>
        <v>0</v>
      </c>
      <c r="AC23" s="1240">
        <f t="shared" si="6"/>
        <v>0</v>
      </c>
      <c r="AD23" s="1240">
        <f t="shared" si="6"/>
        <v>0</v>
      </c>
      <c r="AE23" s="1240">
        <f t="shared" si="6"/>
        <v>544</v>
      </c>
      <c r="AF23" s="1240">
        <f t="shared" si="6"/>
        <v>0</v>
      </c>
      <c r="AG23" s="1240">
        <f t="shared" si="6"/>
        <v>0</v>
      </c>
      <c r="AH23" s="1240">
        <f t="shared" si="6"/>
        <v>0</v>
      </c>
      <c r="AI23" s="1240">
        <f t="shared" si="6"/>
        <v>0</v>
      </c>
      <c r="AJ23" s="1240">
        <f t="shared" si="6"/>
        <v>351</v>
      </c>
      <c r="AK23" s="1240">
        <f t="shared" si="6"/>
        <v>1863</v>
      </c>
      <c r="AL23" s="1240">
        <f t="shared" si="6"/>
        <v>0</v>
      </c>
      <c r="AM23" s="1240">
        <f t="shared" si="6"/>
        <v>0</v>
      </c>
      <c r="AN23" s="1240">
        <f t="shared" si="6"/>
        <v>0</v>
      </c>
      <c r="AO23" s="1242">
        <f>IF(ISNUMBER(((NºAsuntos!I23/NºAsuntos!G23)*11)/factor_trimestre),((NºAsuntos!I23/NºAsuntos!G23)*11)/factor_trimestre," - ")</f>
        <v>4.3574184496667838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20</v>
      </c>
      <c r="F31" s="1117">
        <f t="shared" si="12"/>
        <v>3930</v>
      </c>
      <c r="G31" s="1117">
        <f t="shared" si="12"/>
        <v>3983</v>
      </c>
      <c r="H31" s="1118">
        <f t="shared" si="12"/>
        <v>0</v>
      </c>
      <c r="I31" s="1117">
        <f t="shared" si="12"/>
        <v>0</v>
      </c>
      <c r="J31" s="1119">
        <f t="shared" si="12"/>
        <v>0</v>
      </c>
      <c r="K31" s="1117">
        <f t="shared" si="12"/>
        <v>0</v>
      </c>
      <c r="L31" s="1120">
        <f t="shared" si="12"/>
        <v>0</v>
      </c>
      <c r="M31" s="1117">
        <f t="shared" si="12"/>
        <v>0</v>
      </c>
      <c r="N31" s="1118">
        <f t="shared" si="12"/>
        <v>487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2882</v>
      </c>
      <c r="Z31" s="1124">
        <f t="shared" si="13"/>
        <v>415</v>
      </c>
      <c r="AA31" s="1125">
        <f t="shared" si="13"/>
        <v>4191</v>
      </c>
      <c r="AB31" s="1125">
        <f t="shared" si="13"/>
        <v>0</v>
      </c>
      <c r="AC31" s="1125">
        <f t="shared" si="13"/>
        <v>0</v>
      </c>
      <c r="AD31" s="1126">
        <f t="shared" si="13"/>
        <v>0</v>
      </c>
      <c r="AE31" s="1126">
        <f t="shared" si="13"/>
        <v>9931</v>
      </c>
      <c r="AF31" s="1127">
        <f t="shared" si="13"/>
        <v>0</v>
      </c>
      <c r="AG31" s="1128">
        <f t="shared" si="13"/>
        <v>0</v>
      </c>
      <c r="AH31" s="1129">
        <f t="shared" si="13"/>
        <v>0</v>
      </c>
      <c r="AI31" s="1127">
        <f t="shared" si="13"/>
        <v>0</v>
      </c>
      <c r="AJ31" s="1117">
        <f t="shared" si="13"/>
        <v>892</v>
      </c>
      <c r="AK31" s="1117">
        <f t="shared" si="13"/>
        <v>2909</v>
      </c>
      <c r="AL31" s="1117">
        <f t="shared" si="13"/>
        <v>0</v>
      </c>
      <c r="AM31" s="1130">
        <f t="shared" si="13"/>
        <v>0</v>
      </c>
      <c r="AN31" s="1120">
        <f>IF(ISNUMBER(Datos!K31/Datos!J31),Datos!K31/Datos!J31," - ")</f>
        <v>0.92695492180312788</v>
      </c>
      <c r="AO31" s="1120">
        <f>IF(ISNUMBER(FIND("06",Criterios!A8,1)),(IF(ISNUMBER(((Datos!R31/Datos!Q31)*11)/factor_trimestre),((Datos!R31/Datos!Q31)*11)/factor_trimestre," - ")),(IF(ISNUMBER(((Datos!L31/Datos!K31)*11)/factor_trimestre),((Datos!L31/Datos!K31)*11)/factor_trimestre," - ")))</f>
        <v>7.5410877332274717</v>
      </c>
      <c r="AP31" s="1131" t="str">
        <f>IF(ISNUMBER(Datos!CI31/Datos!CJ31),Datos!CI31/Datos!CJ31," - ")</f>
        <v xml:space="preserve"> - </v>
      </c>
      <c r="AQ31" s="1131">
        <f>IF(OR(ISNUMBER(FIND("01",Criterios!A8,1)),ISNUMBER(FIND("02",Criterios!A8,1)),ISNUMBER(FIND("03",Criterios!A8,1)),ISNUMBER(FIND("04",Criterios!A8,1))),(J31-Y31+K31)/(F31-K31),(I31-Y31+K31)/(F31-K31))</f>
        <v>-0.73333333333333328</v>
      </c>
      <c r="AR31" s="1131">
        <f>IF(ISNUMBER((Datos!P31-Datos!Q31+O31)/(Datos!R31-Datos!P31+Datos!Q31-O31)),(Datos!P31-Datos!Q31+O31)/(Datos!R31-Datos!P31+Datos!Q31-O31)," - ")</f>
        <v>7.3029719038442036E-3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1138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2000.8516186864033</v>
      </c>
      <c r="G33" s="674">
        <f>IF(ISNUMBER(STDEV(G8:G30)),STDEV(G8:G30),"-")</f>
        <v>1882.2732709855566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241.7933001553186</v>
      </c>
      <c r="AK33" s="276"/>
      <c r="AL33" s="276">
        <f>IF(ISNUMBER(STDEV(AL8:AL30)),STDEV(AL8:AL30),"-")</f>
        <v>0</v>
      </c>
      <c r="AM33" s="278">
        <f>IF(ISNUMBER(STDEV(AM8:AM30)),STDEV(AM8:AM30),"-")</f>
        <v>0</v>
      </c>
      <c r="AN33" s="660">
        <f>IF(ISNUMBER(STDEV(AN8:AN30)),STDEV(AN8:AN30),"-")</f>
        <v>0</v>
      </c>
      <c r="AO33" s="661">
        <f>IF(ISNUMBER(STDEV(AO8:AO30)),STDEV(AO8:AO30),"-")</f>
        <v>3.9614544633241469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NqXJ5R1HBR8j1CBSPA7aOVwyeyqRfE4OxwPC0p6iMGuofkjkTyqveaU+IR+niWbRWPd/1w0KSnY0OqhEniBsaQ==" saltValue="8l9CHzNcg7onCuwgykfpo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zqmSMzMcT4d9uxl6Mhwq0qjAjz5ftjXYsHrCXPUQMFLHg6rVabHp6E+NZSv/bKGVw1cGzpAcNRYmagFG80HP1A==" saltValue="FGh/5weTlNcUSaIPOPp3+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GjjbcjN5lvTUWpTpPCjPacDfpnuHTowZKVEMKa0k6LTXAKDOpE3D2m9B/fXZAHlWpPCfAK1uxKEtglpx5R3lg==" saltValue="mDmBELh/D6ON81wbmYBxf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MADRID</v>
      </c>
      <c r="F1" s="856"/>
    </row>
    <row r="2" spans="1:75" ht="16.5" customHeight="1">
      <c r="C2" s="567" t="str">
        <f>Criterios!A10 &amp;"  "&amp;Criterios!B10 &amp; "  " &amp; IF(NOT(ISBLANK(Criterios!A11)),Criterios!A11 &amp;"  "&amp;Criterios!B11,"")</f>
        <v>Provincias  MADRID  Resumenes por Partidos Judiciales  ARGANDA DEL REY</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0.22281713344316309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0.1575555060222085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C9YILktyHB9a7o5zwWYRhIH69TIm/U8Vt5tGssYfXoWnMF74S+55n0AamFWi0DbQjMZ7Fy2XUTBNPhj0WkydUw==" saltValue="V2vzXO6dpiryG/bT7YGDy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B6UrbJEDW/0dt2N2tB7joSewfECwYJslg2hQ5EocNpk2QiS1PGPf32+VcdQPSM5fLTrrtXzG49WBO8Fb5fF17Q==" saltValue="dWD0D8GD/UhK7tA4SC5Eh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MADRID</v>
      </c>
      <c r="C2" s="436"/>
      <c r="D2" s="436"/>
      <c r="E2" s="436"/>
      <c r="F2" s="436"/>
    </row>
    <row r="3" spans="1:14" ht="19.5">
      <c r="A3" s="438" t="s">
        <v>159</v>
      </c>
      <c r="B3" s="439" t="str">
        <f>Criterios!A10 &amp;"  "&amp;Criterios!B10</f>
        <v>Provincias  MADRID</v>
      </c>
      <c r="D3" s="436"/>
      <c r="E3" s="436"/>
      <c r="F3" s="436"/>
    </row>
    <row r="4" spans="1:14" ht="13.5" thickBot="1">
      <c r="A4" s="436"/>
      <c r="B4" s="439" t="str">
        <f>Criterios!A11 &amp;"  "&amp;Criterios!B11</f>
        <v>Resumenes por Partidos Judiciales  ARGANDA DEL REY</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37</v>
      </c>
      <c r="D10" s="452">
        <f>IF(ISNUMBER(C10/Datos!BH10),C10/Datos!BH10," - ")</f>
        <v>37</v>
      </c>
      <c r="E10" s="451">
        <f>IF(ISNUMBER(Datos!J10),Datos!J10," - ")</f>
        <v>44</v>
      </c>
      <c r="F10" s="452">
        <f>IF(ISNUMBER(E10/B10),E10/B10," - ")</f>
        <v>44</v>
      </c>
      <c r="G10" s="451">
        <f>IF(ISNUMBER(Datos!K10),Datos!K10," - ")</f>
        <v>31</v>
      </c>
      <c r="H10" s="452">
        <f>IF(ISNUMBER(G10/B10),G10/B10," - ")</f>
        <v>31</v>
      </c>
      <c r="I10" s="451">
        <f>IF(ISNUMBER(Datos!L10),Datos!L10," - ")</f>
        <v>50</v>
      </c>
      <c r="J10" s="452">
        <f>IF(ISNUMBER(I10/B10),I10/B10," - ")</f>
        <v>50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9</v>
      </c>
      <c r="C12" s="451">
        <f>IF(ISNUMBER(IF(J_V="SI",Datos!I12,Datos!I12+Datos!Y12)),IF(J_V="SI",Datos!I12,Datos!I12+Datos!Y12)," - ")</f>
        <v>8581</v>
      </c>
      <c r="D12" s="452">
        <f>IF(ISNUMBER(C12/Datos!BH12),C12/Datos!BH12," - ")</f>
        <v>1072.625</v>
      </c>
      <c r="E12" s="451">
        <f>IF(ISNUMBER(IF(J_V="SI",Datos!J12,Datos!J12+Datos!Z12)),IF(J_V="SI",Datos!J12,Datos!J12+Datos!Z12)," - ")</f>
        <v>2638</v>
      </c>
      <c r="F12" s="452">
        <f>IF(ISNUMBER(E12/B12),E12/B12," - ")</f>
        <v>293.11111111111109</v>
      </c>
      <c r="G12" s="451">
        <f>IF(ISNUMBER(IF(J_V="SI",Datos!K12,Datos!K12+Datos!AA12)),IF(J_V="SI",Datos!K12,Datos!K12+Datos!AA12)," - ")</f>
        <v>2397</v>
      </c>
      <c r="H12" s="452">
        <f>IF(ISNUMBER(G12/B12),G12/B12," - ")</f>
        <v>266.33333333333331</v>
      </c>
      <c r="I12" s="451">
        <f>IF(ISNUMBER(IF(J_V="SI",Datos!L12,Datos!L12+Datos!AB12)),IF(J_V="SI",Datos!L12,Datos!L12+Datos!AB12)," - ")</f>
        <v>8821</v>
      </c>
      <c r="J12" s="452">
        <f>IF(ISNUMBER(I12/B12),I12/B12," - ")</f>
        <v>980.11111111111109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10</v>
      </c>
      <c r="C14" s="1146">
        <f>SUBTOTAL(9,C8:C13)</f>
        <v>8618</v>
      </c>
      <c r="D14" s="1147" t="str">
        <f>IF(ISNUMBER(C14/Datos!BI14),C14/Datos!BI14," - ")</f>
        <v xml:space="preserve"> - </v>
      </c>
      <c r="E14" s="1146">
        <f>SUBTOTAL(9,E8:E13)</f>
        <v>2682</v>
      </c>
      <c r="F14" s="1147">
        <f>IF(ISNUMBER(E14/B14),E14/B14," - ")</f>
        <v>268.2</v>
      </c>
      <c r="G14" s="1146">
        <f>SUBTOTAL(9,G8:G13)</f>
        <v>2428</v>
      </c>
      <c r="H14" s="1147">
        <f>IF(ISNUMBER(G14/B14),G14/B14," - ")</f>
        <v>242.8</v>
      </c>
      <c r="I14" s="1146">
        <f>SUBTOTAL(9,I8:I13)</f>
        <v>8871</v>
      </c>
      <c r="J14" s="1147">
        <f>IF(ISNUMBER(I14/B14),I14/B14," - ")</f>
        <v>887.1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9</v>
      </c>
      <c r="C17" s="451">
        <f>IF(ISNUMBER(IF(D_I="SI",Datos!I17,Datos!I17+Datos!AC17)),IF(D_I="SI",Datos!I17,Datos!I17+Datos!AC17)," - ")</f>
        <v>3839</v>
      </c>
      <c r="D17" s="452">
        <f>IF(ISNUMBER(C17/Datos!BH17),C17/Datos!BH17," - ")</f>
        <v>479.875</v>
      </c>
      <c r="E17" s="451">
        <f>IF(ISNUMBER(IF(D_I="SI",Datos!J17,Datos!J17+Datos!AD17)),IF(D_I="SI",Datos!J17,Datos!J17+Datos!AD17)," - ")</f>
        <v>2642</v>
      </c>
      <c r="F17" s="452">
        <f>IF(ISNUMBER(E17/B17),E17/B17," - ")</f>
        <v>293.55555555555554</v>
      </c>
      <c r="G17" s="451">
        <f>IF(ISNUMBER(IF(D_I="SI",Datos!K17,Datos!K17+Datos!AE17)),IF(D_I="SI",Datos!K17,Datos!K17+Datos!AE17)," - ")</f>
        <v>2524</v>
      </c>
      <c r="H17" s="452">
        <f>IF(ISNUMBER(G17/B17),G17/B17," - ")</f>
        <v>280.44444444444446</v>
      </c>
      <c r="I17" s="451">
        <f>IF(ISNUMBER(IF(D_I="SI",Datos!L17,Datos!L17+Datos!AF17)),IF(D_I="SI",Datos!L17,Datos!L17+Datos!AF17)," - ")</f>
        <v>4011</v>
      </c>
      <c r="J17" s="452">
        <f>IF(ISNUMBER(I17/B17),I17/B17," - ")</f>
        <v>445.66666666666669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107</v>
      </c>
      <c r="D18" s="452">
        <f>IF(ISNUMBER(C18/Datos!BH18),C18/Datos!BH18," - ")</f>
        <v>107</v>
      </c>
      <c r="E18" s="451">
        <f>IF(ISNUMBER(IF(D_I="SI",Datos!J18,Datos!J18+Datos!AD18)),IF(D_I="SI",Datos!J18,Datos!J18+Datos!AD18)," - ")</f>
        <v>349</v>
      </c>
      <c r="F18" s="452">
        <f>IF(ISNUMBER(E18/B18),E18/B18," - ")</f>
        <v>349</v>
      </c>
      <c r="G18" s="451">
        <f>IF(ISNUMBER(IF(D_I="SI",Datos!K18,Datos!K18+Datos!AE18)),IF(D_I="SI",Datos!K18,Datos!K18+Datos!AE18)," - ")</f>
        <v>327</v>
      </c>
      <c r="H18" s="452">
        <f>IF(ISNUMBER(G18/B18),G18/B18," - ")</f>
        <v>327</v>
      </c>
      <c r="I18" s="451">
        <f>IF(ISNUMBER(IF(D_I="SI",Datos!L18,Datos!L18+Datos!AF18)),IF(D_I="SI",Datos!L18,Datos!L18+Datos!AF18)," - ")</f>
        <v>130</v>
      </c>
      <c r="J18" s="452">
        <f>IF(ISNUMBER(I18/B18),I18/B18," - ")</f>
        <v>130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10</v>
      </c>
      <c r="C23" s="1146">
        <f>SUBTOTAL(9,C15:C22)</f>
        <v>3946</v>
      </c>
      <c r="D23" s="1147" t="str">
        <f>IF(ISNUMBER(C23/Datos!BI23),C23/Datos!BI23," - ")</f>
        <v xml:space="preserve"> - </v>
      </c>
      <c r="E23" s="1146">
        <f>SUBTOTAL(9,E15:E22)</f>
        <v>2991</v>
      </c>
      <c r="F23" s="1147">
        <f>IF(ISNUMBER(E23/B23),E23/B23," - ")</f>
        <v>299.10000000000002</v>
      </c>
      <c r="G23" s="1146">
        <f>SUBTOTAL(9,G15:G22)</f>
        <v>2851</v>
      </c>
      <c r="H23" s="1147">
        <f>IF(ISNUMBER(G23/B23),G23/B23," - ")</f>
        <v>285.10000000000002</v>
      </c>
      <c r="I23" s="1146">
        <f>SUBTOTAL(9,I15:I22)</f>
        <v>4141</v>
      </c>
      <c r="J23" s="1147">
        <f>IF(ISNUMBER(I23/B23),I23/B23," - ")</f>
        <v>414.1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10</v>
      </c>
      <c r="C31" s="1084">
        <f>SUBTOTAL(9,C9:C30)</f>
        <v>12564</v>
      </c>
      <c r="D31" s="1085" t="str">
        <f>IF(ISNUMBER(C31/Datos!BI31),C31/Datos!BI31," - ")</f>
        <v xml:space="preserve"> - </v>
      </c>
      <c r="E31" s="1084">
        <f>SUBTOTAL(9,E9:E30)</f>
        <v>5673</v>
      </c>
      <c r="F31" s="1085">
        <f>IF(ISNUMBER(E31/B31),E31/B31," - ")</f>
        <v>567.29999999999995</v>
      </c>
      <c r="G31" s="1084">
        <f>SUBTOTAL(9,G9:G30)</f>
        <v>5279</v>
      </c>
      <c r="H31" s="1085">
        <f>IF(ISNUMBER(G31/B31),G31/B31," - ")</f>
        <v>527.9</v>
      </c>
      <c r="I31" s="1084">
        <f>SUBTOTAL(9,I9:I30)</f>
        <v>13012</v>
      </c>
      <c r="J31" s="1085">
        <f>IF(ISNUMBER(I31/B31),I31/B31," - ")</f>
        <v>1301.2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pBp99YLf/C1dEdXgel+fcK/cZD9xGVcClhRLmGENK+FCx48XEcDUSQ9Q3KTw/igMmKA+oqJhcFP0Y/GiQ3mDOg==" saltValue="pMVOV47fd3zPDMfQz/e6X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MADRID</v>
      </c>
      <c r="F1" s="856"/>
      <c r="W1"/>
      <c r="X1"/>
      <c r="BE1" s="856"/>
    </row>
    <row r="2" spans="1:65" ht="16.5" customHeight="1">
      <c r="C2" s="567" t="str">
        <f>Criterios!A10 &amp;"  "&amp;Criterios!B10 &amp; "  " &amp; IF(NOT(ISBLANK(Criterios!A11)),Criterios!A11 &amp;"  "&amp;Criterios!B11,"")</f>
        <v>Provincias  MADRID  Resumenes por Partidos Judiciales  ARGANDA DEL REY</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37</v>
      </c>
      <c r="G10" s="906">
        <f>IF(ISNUMBER(Datos!I10),Datos!I10," - ")</f>
        <v>37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9</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31</v>
      </c>
      <c r="AC10" s="905" t="str">
        <f>IF(ISNUMBER(IF(D_I="SI",DatosP!K18,DatosP!K18+DatosP!AE18)),IF(D_I="SI",DatosP!K18,DatosP!K18+DatosP!AE18)," - ")</f>
        <v xml:space="preserve"> - </v>
      </c>
      <c r="AD10" s="907"/>
      <c r="AE10" s="907"/>
      <c r="AF10" s="910">
        <f>IF(ISNUMBER(Datos!L10),Datos!L10,"-")</f>
        <v>50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12</v>
      </c>
      <c r="AM10" s="914">
        <f>IF(ISNUMBER(Datos!N10+DatosP!N18),Datos!N10+DatosP!N18," - ")</f>
        <v>11</v>
      </c>
      <c r="AN10" s="914">
        <f>IF(ISNUMBER(Datos!BW10+DatosP!BW18),Datos!BW10+DatosP!BW18," - ")</f>
        <v>0</v>
      </c>
      <c r="AO10" s="915">
        <f>IF(ISNUMBER(Datos!BX10+DatosP!BX18),Datos!BX10+DatosP!BX18," - ")</f>
        <v>0</v>
      </c>
      <c r="AP10" s="917">
        <f>IF(ISNUMBER(((Datos!L10/Datos!K10)*11)/factor_trimestre),((Datos!L10/Datos!K10)*11)/factor_trimestre," - ")</f>
        <v>4.838709677419355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9</v>
      </c>
      <c r="B12" s="746" t="s">
        <v>321</v>
      </c>
      <c r="C12" s="747" t="str">
        <f>Datos!A12</f>
        <v xml:space="preserve">Jdos. 1ª Instª. e Instr.                        </v>
      </c>
      <c r="D12" s="601"/>
      <c r="E12" s="904">
        <f>IF(ISNUMBER(Datos!AQ12),Datos!AQ12," - ")</f>
        <v>9</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391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314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9297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529</v>
      </c>
      <c r="AM12" s="914">
        <f>IF(ISNUMBER(Datos!N12+DatosP!N17),Datos!N12+DatosP!N17," - ")</f>
        <v>1035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11.040050062578224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8.3514099783080255E-3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10</v>
      </c>
      <c r="F14" s="1256">
        <f t="shared" si="0"/>
        <v>37</v>
      </c>
      <c r="G14" s="1256">
        <f t="shared" si="0"/>
        <v>37</v>
      </c>
      <c r="H14" s="1256">
        <f t="shared" si="0"/>
        <v>0</v>
      </c>
      <c r="I14" s="1258">
        <f t="shared" si="0"/>
        <v>0</v>
      </c>
      <c r="J14" s="1257">
        <f t="shared" si="0"/>
        <v>0</v>
      </c>
      <c r="K14" s="1257">
        <f t="shared" si="0"/>
        <v>0</v>
      </c>
      <c r="L14" s="1259">
        <f t="shared" si="0"/>
        <v>0</v>
      </c>
      <c r="M14" s="1259">
        <f t="shared" si="0"/>
        <v>0</v>
      </c>
      <c r="N14" s="1257">
        <f t="shared" si="0"/>
        <v>400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31</v>
      </c>
      <c r="AC14" s="1257">
        <f t="shared" si="1"/>
        <v>0</v>
      </c>
      <c r="AD14" s="1257">
        <f t="shared" si="1"/>
        <v>314</v>
      </c>
      <c r="AE14" s="1257">
        <f t="shared" si="1"/>
        <v>0</v>
      </c>
      <c r="AF14" s="1257">
        <f t="shared" si="1"/>
        <v>50</v>
      </c>
      <c r="AG14" s="1257">
        <f t="shared" si="1"/>
        <v>0</v>
      </c>
      <c r="AH14" s="1257">
        <f t="shared" si="1"/>
        <v>9297</v>
      </c>
      <c r="AI14" s="1257">
        <f t="shared" si="1"/>
        <v>0</v>
      </c>
      <c r="AJ14" s="1257">
        <f t="shared" si="1"/>
        <v>0</v>
      </c>
      <c r="AK14" s="1257">
        <f t="shared" si="1"/>
        <v>0</v>
      </c>
      <c r="AL14" s="1257">
        <f t="shared" si="1"/>
        <v>541</v>
      </c>
      <c r="AM14" s="1257">
        <f t="shared" si="1"/>
        <v>1046</v>
      </c>
      <c r="AN14" s="1257">
        <f t="shared" si="1"/>
        <v>0</v>
      </c>
      <c r="AO14" s="1257">
        <f t="shared" si="1"/>
        <v>0</v>
      </c>
      <c r="AP14" s="1262">
        <f>IF(ISNUMBER(((Datos!L14/Datos!K14)*11)/factor_trimestre),((Datos!L14/Datos!K14)*11)/factor_trimestre," - ")</f>
        <v>11.691358024691359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-0.83783783783783783</v>
      </c>
      <c r="AU14" s="1257" t="str">
        <f>IF(ISNUMBER((DatosP!#REF!-DatosP!#REF!+DatosP!#REF!)/(DatosP!#REF!+DatosP!#REF!-DatosP!#REF!-DatosP!#REF!)),(DatosP!#REF!-DatosP!#REF!+DatosP!#REF!)/(DatosP!#REF!+DatosP!#REF!-DatosP!#REF!-DatosP!#REF!)," - ")</f>
        <v xml:space="preserve"> - </v>
      </c>
      <c r="AV14" s="1263">
        <f>SUBTOTAL(9,AV9:AV13)</f>
        <v>8.3514099783080255E-3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9</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4.3574184496667838</v>
      </c>
      <c r="AQ23" s="1262">
        <f>IF(ISNUMBER(((Datos!M23/Datos!L23)*11)/factor_trimestre),((Datos!M23/Datos!L23)*11)/factor_trimestre," - ")</f>
        <v>0.25428640425018112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-1.2704174228675136E-2</v>
      </c>
      <c r="AW23" s="1265">
        <f>IF(ISNUMBER((Datos!Q23-Datos!R23)/(Datos!S23-Datos!Q23+Datos!R23)),(Datos!Q23-Datos!R23)/(Datos!S23-Datos!Q23+Datos!R23)," - ")</f>
        <v>-0.13119533527696792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10</v>
      </c>
      <c r="F31" s="1278">
        <f t="shared" si="8"/>
        <v>37</v>
      </c>
      <c r="G31" s="1278">
        <f t="shared" si="8"/>
        <v>37</v>
      </c>
      <c r="H31" s="1278">
        <f t="shared" si="8"/>
        <v>0</v>
      </c>
      <c r="I31" s="1279">
        <f t="shared" si="8"/>
        <v>0</v>
      </c>
      <c r="J31" s="1280">
        <f t="shared" si="8"/>
        <v>0</v>
      </c>
      <c r="K31" s="1280">
        <f t="shared" si="8"/>
        <v>0</v>
      </c>
      <c r="L31" s="1280">
        <f t="shared" si="8"/>
        <v>0</v>
      </c>
      <c r="M31" s="1280">
        <f t="shared" si="8"/>
        <v>0</v>
      </c>
      <c r="N31" s="1279">
        <f t="shared" si="8"/>
        <v>400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31</v>
      </c>
      <c r="AC31" s="1284">
        <f t="shared" si="9"/>
        <v>0</v>
      </c>
      <c r="AD31" s="1284">
        <f t="shared" si="9"/>
        <v>314</v>
      </c>
      <c r="AE31" s="1284">
        <f t="shared" si="9"/>
        <v>0</v>
      </c>
      <c r="AF31" s="1285">
        <f t="shared" si="9"/>
        <v>50</v>
      </c>
      <c r="AG31" s="1285">
        <f t="shared" si="9"/>
        <v>0</v>
      </c>
      <c r="AH31" s="1285">
        <f t="shared" si="9"/>
        <v>9297</v>
      </c>
      <c r="AI31" s="1285">
        <f t="shared" si="9"/>
        <v>0</v>
      </c>
      <c r="AJ31" s="1286">
        <f t="shared" si="9"/>
        <v>0</v>
      </c>
      <c r="AK31" s="1286">
        <f t="shared" si="9"/>
        <v>0</v>
      </c>
      <c r="AL31" s="1278">
        <f t="shared" si="9"/>
        <v>541</v>
      </c>
      <c r="AM31" s="1278">
        <f t="shared" si="9"/>
        <v>1046</v>
      </c>
      <c r="AN31" s="1278">
        <f t="shared" si="9"/>
        <v>0</v>
      </c>
      <c r="AO31" s="1278">
        <f t="shared" si="9"/>
        <v>0</v>
      </c>
      <c r="AP31" s="1278">
        <f>IF(ISNUMBER(((Datos!L31/Datos!K31)*11)/factor_trimestre),((Datos!L31/Datos!K31)*11)/factor_trimestre," - ")</f>
        <v>7.5410877332274717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-0.83783783783783783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7.3029719038442036E-3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14.8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4.1466184348749096</v>
      </c>
      <c r="F33" s="1006">
        <f>IF(ISNUMBER(STDEV(F8:F30)),STDEV(F8:F30),"-")</f>
        <v>20.265734627691145</v>
      </c>
      <c r="G33" s="1007">
        <f>IF(ISNUMBER(STDEV(G8:G30)),STDEV(G8:G30),"-")</f>
        <v>20.265734627691145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16.97939928266015</v>
      </c>
      <c r="AC33" s="1008">
        <f>IF(ISNUMBER(STDEV(AC8:AC30)),STDEV(AC8:AC30),"-")</f>
        <v>0</v>
      </c>
      <c r="AD33" s="1011"/>
      <c r="AE33" s="1011"/>
      <c r="AF33" s="1011"/>
      <c r="AG33" s="1011"/>
      <c r="AH33" s="1011"/>
      <c r="AI33" s="1011"/>
      <c r="AJ33" s="1012">
        <f>IF(ISNUMBER(STDEV(AJ8:AJ30)),STDEV(AJ8:AJ30),"-")</f>
        <v>0</v>
      </c>
      <c r="AK33" s="1014"/>
      <c r="AL33" s="1006">
        <f>IF(ISNUMBER(STDEV(AL8:AL30)),STDEV(AL8:AL30),"-")</f>
        <v>274.78913127463153</v>
      </c>
      <c r="AM33" s="1006"/>
      <c r="AN33" s="1006">
        <f>IF(ISNUMBER(STDEV(AN8:AN30)),STDEV(AN8:AN30),"-")</f>
        <v>0</v>
      </c>
      <c r="AO33" s="1012">
        <f>IF(ISNUMBER(STDEV(AO8:AO30)),STDEV(AO8:AO30),"-")</f>
        <v>0</v>
      </c>
      <c r="AP33" s="1065">
        <f>IF(ISNUMBER(STDEV(AP8:AP30)),STDEV(AP8:AP30),"-")</f>
        <v>3.9212613852282958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M8cEnADAC/zWIDKJsKsN32t3MjptLhu3A7MDuw1XZpOjoerfplCr7CiC9hG9ZQ3JUag+GEN4LQm/n4SqFxDafQ==" saltValue="+8gPo52Cr0vL5UgrfzYZx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MADRID</v>
      </c>
      <c r="C2" s="436"/>
      <c r="E2" s="436"/>
      <c r="F2" s="436"/>
      <c r="G2" s="436"/>
      <c r="H2" s="436"/>
    </row>
    <row r="3" spans="1:15" ht="39">
      <c r="A3" s="463" t="s">
        <v>280</v>
      </c>
      <c r="B3" s="439" t="str">
        <f>Criterios!A10 &amp;"  "&amp;Criterios!B10</f>
        <v>Provincias  MADRID</v>
      </c>
      <c r="C3" s="463"/>
      <c r="F3" s="436"/>
      <c r="G3" s="436"/>
      <c r="H3" s="436"/>
    </row>
    <row r="4" spans="1:15" ht="13.5" thickBot="1">
      <c r="A4" s="436"/>
      <c r="B4" s="439" t="str">
        <f>Criterios!A11 &amp;"  "&amp;Criterios!B11</f>
        <v>Resumenes por Partidos Judiciales  ARGANDA DEL REY</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9</v>
      </c>
      <c r="D12" s="451">
        <f>Datos!BK12</f>
        <v>0</v>
      </c>
      <c r="E12" s="451">
        <f>Datos!AQ12</f>
        <v>9</v>
      </c>
      <c r="F12" s="452">
        <f>IF(ISNUMBER(E12/Datos!BH12),E12/Datos!BH12," - ")</f>
        <v>1.125</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9</v>
      </c>
      <c r="D17" s="451">
        <f>Datos!BK17</f>
        <v>0</v>
      </c>
      <c r="E17" s="451">
        <f>Datos!AQ17</f>
        <v>9</v>
      </c>
      <c r="F17" s="452">
        <f>IF(ISNUMBER(E17/Datos!BH17),E17/Datos!BH17," - ")</f>
        <v>1.125</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bU8mytCreI2GTjtxbrXUy+aQYbvlWDuKqMvjFM7CA9C+cXesXwe2oIb0u/+GQ47b/CKKGv3LYuFrBqoUEs1Vxg==" saltValue="eRE1zY6HTMbvGPEnEeACZ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MADRID</v>
      </c>
      <c r="C2" s="475"/>
      <c r="D2" s="418"/>
    </row>
    <row r="3" spans="1:9" ht="19.5">
      <c r="A3" s="476" t="s">
        <v>16</v>
      </c>
      <c r="B3" s="477" t="str">
        <f>Criterios!A10 &amp;"  "&amp;Criterios!B10</f>
        <v>Provincias  MADRID</v>
      </c>
      <c r="C3" s="475"/>
      <c r="D3" s="476"/>
    </row>
    <row r="4" spans="1:9" ht="13.5" thickBot="1">
      <c r="B4" s="477" t="str">
        <f>Criterios!A11 &amp;"  "&amp;Criterios!B11</f>
        <v>Resumenes por Partidos Judiciales  ARGANDA DEL REY</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1</v>
      </c>
      <c r="D10" s="451">
        <f>IF(ISNUMBER(Datos!M10),Datos!M10," - ")</f>
        <v>12</v>
      </c>
      <c r="E10" s="452">
        <f>IF(ISNUMBER(D10/B10),D10/B10," - ")</f>
        <v>12</v>
      </c>
      <c r="F10" s="451">
        <f>IF(ISNUMBER(Datos!N10),Datos!N10," - ")</f>
        <v>11</v>
      </c>
      <c r="G10" s="452">
        <f>IF(ISNUMBER(F10/B10),F10/B10," - ")</f>
        <v>11</v>
      </c>
      <c r="H10" s="451">
        <f>IF(ISNUMBER(Datos!O10),Datos!O10," - ")</f>
        <v>15</v>
      </c>
      <c r="I10" s="452">
        <f t="shared" ref="I10:I13" si="2">IF(ISNUMBER(H10/B10),H10/B10," - ")</f>
        <v>15</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9</v>
      </c>
      <c r="C12" s="458">
        <f>Datos!AQ12</f>
        <v>9</v>
      </c>
      <c r="D12" s="451">
        <f>IF(ISNUMBER(Datos!M12),Datos!M12," - ")</f>
        <v>529</v>
      </c>
      <c r="E12" s="452">
        <f t="shared" si="0"/>
        <v>58.777777777777779</v>
      </c>
      <c r="F12" s="451">
        <f>IF(ISNUMBER(Datos!N12),Datos!N12," - ")</f>
        <v>1035</v>
      </c>
      <c r="G12" s="452">
        <f t="shared" si="1"/>
        <v>115</v>
      </c>
      <c r="H12" s="451">
        <f>IF(ISNUMBER(Datos!O12),Datos!O12," - ")</f>
        <v>843</v>
      </c>
      <c r="I12" s="452">
        <f t="shared" si="2"/>
        <v>93.666666666666671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10</v>
      </c>
      <c r="C14" s="1148">
        <f>Datos!AR14</f>
        <v>10</v>
      </c>
      <c r="D14" s="1146">
        <f>SUBTOTAL(9,D9:D13)</f>
        <v>541</v>
      </c>
      <c r="E14" s="1147">
        <f t="shared" si="0"/>
        <v>54.1</v>
      </c>
      <c r="F14" s="1146">
        <f>SUBTOTAL(9,F9:F13)</f>
        <v>1046</v>
      </c>
      <c r="G14" s="1147">
        <f t="shared" si="1"/>
        <v>104.6</v>
      </c>
      <c r="H14" s="1146">
        <f>SUBTOTAL(9,H9:H13)</f>
        <v>858</v>
      </c>
      <c r="I14" s="1147">
        <f>IF(ISNUMBER(H14/B14),H14/B14," - ")</f>
        <v>85.8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9</v>
      </c>
      <c r="C17" s="481">
        <f>Datos!AQ17</f>
        <v>9</v>
      </c>
      <c r="D17" s="451">
        <f>IF(ISNUMBER(Datos!M17),Datos!M17," - ")</f>
        <v>333</v>
      </c>
      <c r="E17" s="452">
        <f t="shared" si="3"/>
        <v>37</v>
      </c>
      <c r="F17" s="451">
        <f>IF(ISNUMBER(Datos!N17),Datos!N17," - ")</f>
        <v>1690</v>
      </c>
      <c r="G17" s="452">
        <f t="shared" si="4"/>
        <v>187.77777777777777</v>
      </c>
      <c r="H17" s="451">
        <f>IF(ISNUMBER(Datos!O17),Datos!O17," - ")</f>
        <v>48</v>
      </c>
      <c r="I17" s="452">
        <f t="shared" si="5"/>
        <v>5.333333333333333</v>
      </c>
    </row>
    <row r="18" spans="1:9">
      <c r="A18" s="450" t="str">
        <f>Datos!A18</f>
        <v>Jdos. Violencia contra la mujer</v>
      </c>
      <c r="B18" s="480">
        <f>Datos!AO18</f>
        <v>1</v>
      </c>
      <c r="C18" s="481">
        <f>Datos!AQ18</f>
        <v>1</v>
      </c>
      <c r="D18" s="451">
        <f>IF(ISNUMBER(Datos!M18),Datos!M18," - ")</f>
        <v>18</v>
      </c>
      <c r="E18" s="452">
        <f>IF(ISNUMBER(D18/B18),D18/B18," - ")</f>
        <v>18</v>
      </c>
      <c r="F18" s="451">
        <f>IF(ISNUMBER(Datos!N18),Datos!N18," - ")</f>
        <v>173</v>
      </c>
      <c r="G18" s="452">
        <f>IF(ISNUMBER(F18/B18),F18/B18," - ")</f>
        <v>173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10</v>
      </c>
      <c r="C23" s="1148">
        <f>Datos!AR23</f>
        <v>10</v>
      </c>
      <c r="D23" s="1146">
        <f>SUBTOTAL(9,D16:D22)</f>
        <v>351</v>
      </c>
      <c r="E23" s="1147">
        <f t="shared" si="3"/>
        <v>35.1</v>
      </c>
      <c r="F23" s="1146">
        <f>SUBTOTAL(9,F16:F22)</f>
        <v>1863</v>
      </c>
      <c r="G23" s="1147">
        <f t="shared" si="4"/>
        <v>186.3</v>
      </c>
      <c r="H23" s="1146">
        <f>SUBTOTAL(9,H16:H22)</f>
        <v>48</v>
      </c>
      <c r="I23" s="1147">
        <f>IF(ISNUMBER(H23/B23),H23/B23," - ")</f>
        <v>4.8</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10</v>
      </c>
      <c r="C31" s="1084">
        <f>Datos!AR31</f>
        <v>10</v>
      </c>
      <c r="D31" s="1084">
        <f>SUBTOTAL(9,D8:D30)</f>
        <v>892</v>
      </c>
      <c r="E31" s="1085">
        <f>IF(ISNUMBER(D31/B31),D31/B31," - ")</f>
        <v>89.2</v>
      </c>
      <c r="F31" s="1084">
        <f>SUBTOTAL(9,F8:F30)</f>
        <v>2909</v>
      </c>
      <c r="G31" s="1085">
        <f>IF(ISNUMBER(F31/B31),F31/B31," - ")</f>
        <v>290.89999999999998</v>
      </c>
      <c r="H31" s="1084">
        <f>SUBTOTAL(9,H8:H30)</f>
        <v>906</v>
      </c>
      <c r="I31" s="1085">
        <f>IF(ISNUMBER(H31/B31),H31/B31," - ")</f>
        <v>90.6</v>
      </c>
    </row>
    <row r="34" spans="1:1">
      <c r="A34" s="439" t="str">
        <f>Criterios!A4</f>
        <v>Fecha Informe: 06 may. 2023</v>
      </c>
    </row>
    <row r="39" spans="1:1">
      <c r="A39" s="462"/>
    </row>
  </sheetData>
  <sheetProtection algorithmName="SHA-512" hashValue="sJRU14bRay9zg9HoqWeiM6uL1/1oizGhJtvuELV/yy+45gCP692jATztZCHm1Sm+HQGUurbx+SDrOs9Foov5mQ==" saltValue="gdJrJMqfalwrCD4werqnP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MADRID</v>
      </c>
    </row>
    <row r="3" spans="1:4" ht="19.5">
      <c r="A3" s="484" t="s">
        <v>48</v>
      </c>
      <c r="B3" s="439" t="str">
        <f>Criterios!A10 &amp;"  "&amp;Criterios!B10</f>
        <v>Provincias  MADRID</v>
      </c>
    </row>
    <row r="4" spans="1:4" ht="13.5" thickBot="1">
      <c r="B4" s="439" t="str">
        <f>Criterios!A11 &amp;"  "&amp;Criterios!B11</f>
        <v>Resumenes por Partidos Judiciales  ARGANDA DEL REY</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9</v>
      </c>
      <c r="C10" s="489">
        <f>IF(ISNUMBER(Datos!Q10),Datos!Q10," - ")</f>
        <v>7</v>
      </c>
      <c r="D10" s="456">
        <f>IF(ISNUMBER(Datos!R10),Datos!R10," - ")</f>
        <v>90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391</v>
      </c>
      <c r="C12" s="489">
        <f>IF(ISNUMBER(Datos!Q12),Datos!Q12," - ")</f>
        <v>314</v>
      </c>
      <c r="D12" s="456">
        <f>IF(ISNUMBER(Datos!R12),Datos!R12," - ")</f>
        <v>9297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400</v>
      </c>
      <c r="C14" s="1150">
        <f>SUBTOTAL(9,C9:C13)</f>
        <v>321</v>
      </c>
      <c r="D14" s="1148">
        <f>SUBTOTAL(9,D9:D13)</f>
        <v>9387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86</v>
      </c>
      <c r="C17" s="489">
        <f>IF(ISNUMBER(Datos!Q17),Datos!Q17," - ")</f>
        <v>94</v>
      </c>
      <c r="D17" s="456">
        <f>IF(ISNUMBER(Datos!R17),Datos!R17," - ")</f>
        <v>540</v>
      </c>
    </row>
    <row r="18" spans="1:4">
      <c r="A18" s="450" t="str">
        <f>Datos!A18</f>
        <v>Jdos. Violencia contra la mujer</v>
      </c>
      <c r="B18" s="488">
        <f>IF(ISNUMBER(Datos!P18),Datos!P18," - ")</f>
        <v>1</v>
      </c>
      <c r="C18" s="489">
        <f>IF(ISNUMBER(Datos!Q18),Datos!Q18," - ")</f>
        <v>0</v>
      </c>
      <c r="D18" s="456">
        <f>IF(ISNUMBER(Datos!R18),Datos!R18," - ")</f>
        <v>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87</v>
      </c>
      <c r="C23" s="1150">
        <f>SUBTOTAL(9,C16:C22)</f>
        <v>94</v>
      </c>
      <c r="D23" s="1148">
        <f>SUBTOTAL(9,D16:D22)</f>
        <v>544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487</v>
      </c>
      <c r="C31" s="1089">
        <f>SUBTOTAL(9,C8:C30)</f>
        <v>415</v>
      </c>
      <c r="D31" s="1090">
        <f>SUBTOTAL(9,D8:D30)</f>
        <v>9931</v>
      </c>
    </row>
    <row r="32" spans="1:4" ht="7.5" customHeight="1"/>
    <row r="33" spans="1:1" ht="6" customHeight="1"/>
    <row r="34" spans="1:1">
      <c r="A34" s="439" t="str">
        <f>Criterios!A4</f>
        <v>Fecha Informe: 06 may. 2023</v>
      </c>
    </row>
    <row r="39" spans="1:1">
      <c r="A39" s="462"/>
    </row>
  </sheetData>
  <sheetProtection algorithmName="SHA-512" hashValue="CLY+3JCedl6Vil8Cn3hspZSqeH/0KqXtXWPTqNh246H0lhem2H8HkYzTduAFIf2zfu57bAF13Hi3M39OFsE0Og==" saltValue="sIGNS00iwAIVC7kBeXnnj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MADRID</v>
      </c>
    </row>
    <row r="3" spans="1:11" ht="18.75" customHeight="1">
      <c r="A3" s="484" t="s">
        <v>162</v>
      </c>
      <c r="B3" s="439" t="str">
        <f>Criterios!A10 &amp;"  "&amp;Criterios!B10</f>
        <v>Provincias  MADRID</v>
      </c>
    </row>
    <row r="4" spans="1:11" ht="10.5" customHeight="1" thickBot="1">
      <c r="B4" s="439" t="str">
        <f>Criterios!A11 &amp;"  "&amp;Criterios!B11</f>
        <v>Resumenes por Partidos Judiciales  ARGANDA DEL REY</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-0.15909090909090909</v>
      </c>
      <c r="C10" s="515">
        <f>IF(ISNUMBER((Datos!J10-Datos!T10)/Datos!T10),(Datos!J10-Datos!T10)/Datos!T10," - ")</f>
        <v>-0.2</v>
      </c>
      <c r="D10" s="515">
        <f>IF(ISNUMBER((Datos!K10-Datos!U10)/Datos!U10),(Datos!K10-Datos!U10)/Datos!U10," - ")</f>
        <v>-0.41509433962264153</v>
      </c>
      <c r="E10" s="515">
        <f>IF(ISNUMBER((Datos!L10-Datos!V10)/Datos!V10),(Datos!L10-Datos!V10)/Datos!V10," - ")</f>
        <v>8.6956521739130432E-2</v>
      </c>
      <c r="F10" s="515">
        <f>IF(ISNUMBER((Datos!M10-Datos!W10)/Datos!W10),(Datos!M10-Datos!W10)/Datos!W10," - ")</f>
        <v>-0.47826086956521741</v>
      </c>
      <c r="G10" s="516">
        <f>IF(ISNUMBER((Datos!N10-Datos!X10)/Datos!X10),(Datos!N10-Datos!X10)/Datos!X10," - ")</f>
        <v>-0.21428571428571427</v>
      </c>
      <c r="H10" s="514">
        <f>IF(ISNUMBER(((NºAsuntos!G10/NºAsuntos!E10)-Datos!BD10)/Datos!BD10),((NºAsuntos!G10/NºAsuntos!E10)-Datos!BD10)/Datos!BD10," - ")</f>
        <v>-0.26886792452830183</v>
      </c>
      <c r="I10" s="515">
        <f>IF(ISNUMBER(((NºAsuntos!I10/NºAsuntos!G10)-Datos!BE10)/Datos!BE10),((NºAsuntos!I10/NºAsuntos!G10)-Datos!BE10)/Datos!BE10," - ")</f>
        <v>0.85834502103786803</v>
      </c>
      <c r="J10" s="521">
        <f>IF(ISNUMBER((('Resol  Asuntos'!D10/NºAsuntos!G10)-Datos!BF10)/Datos!BF10),(('Resol  Asuntos'!D10/NºAsuntos!G10)-Datos!BF10)/Datos!BF10," - ")</f>
        <v>-0.10799438990182333</v>
      </c>
      <c r="K10" s="522">
        <f>IF(ISNUMBER((((NºAsuntos!C10+NºAsuntos!E10)/NºAsuntos!G10)-Datos!BG10)/Datos!BG10),(((NºAsuntos!C10+NºAsuntos!E10)/NºAsuntos!G10)-Datos!BG10)/Datos!BG10," - ")</f>
        <v>0.39882697947214069</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0.35006293266205163</v>
      </c>
      <c r="C12" s="515">
        <f>IF(ISNUMBER(
   IF(J_V="SI",(Datos!J12-Datos!T12)/Datos!T12,(Datos!J12+Datos!Z12-(Datos!T12+Datos!AH12))/(Datos!T12+Datos!AH12))
     ),IF(J_V="SI",(Datos!J12-Datos!T12)/Datos!T12,(Datos!J12+Datos!Z12-(Datos!T12+Datos!AH12))/(Datos!T12+Datos!AH12))," - ")</f>
        <v>0.15045791539467945</v>
      </c>
      <c r="D12" s="515">
        <f>IF(ISNUMBER(
   IF(J_V="SI",(Datos!K12-Datos!U12)/Datos!U12,(Datos!K12+Datos!AA12-(Datos!U12+Datos!AI12))/(Datos!U12+Datos!AI12))
     ),IF(J_V="SI",(Datos!K12-Datos!U12)/Datos!U12,(Datos!K12+Datos!AA12-(Datos!U12+Datos!AI12))/(Datos!U12+Datos!AI12))," - ")</f>
        <v>0.31630971993410212</v>
      </c>
      <c r="E12" s="515">
        <f>IF(ISNUMBER(
   IF(J_V="SI",(Datos!L12-Datos!V12)/Datos!V12,(Datos!L12+Datos!AB12-(Datos!V12+Datos!AJ12))/(Datos!V12+Datos!AJ12))
     ),IF(J_V="SI",(Datos!L12-Datos!V12)/Datos!V12,(Datos!L12+Datos!AB12-(Datos!V12+Datos!AJ12))/(Datos!V12+Datos!AJ12))," - ")</f>
        <v>0.26702097098534905</v>
      </c>
      <c r="F12" s="515">
        <f>IF(ISNUMBER((Datos!M12-Datos!W12)/Datos!W12),(Datos!M12-Datos!W12)/Datos!W12," - ")</f>
        <v>0.38481675392670156</v>
      </c>
      <c r="G12" s="516">
        <f>IF(ISNUMBER((Datos!N12-Datos!X12)/Datos!X12),(Datos!N12-Datos!X12)/Datos!X12," - ")</f>
        <v>0.17214043035107587</v>
      </c>
      <c r="H12" s="514">
        <f>IF(ISNUMBER(((NºAsuntos!G12/NºAsuntos!E12)-Datos!BD12)/Datos!BD12),((NºAsuntos!G12/NºAsuntos!E12)-Datos!BD12)/Datos!BD12," - ")</f>
        <v>0.14416155716789095</v>
      </c>
      <c r="I12" s="515">
        <f>IF(ISNUMBER(((NºAsuntos!I12/NºAsuntos!G12)-Datos!BE12)/Datos!BE12),((NºAsuntos!I12/NºAsuntos!G12)-Datos!BE12)/Datos!BE12," - ")</f>
        <v>-3.744464406995382E-2</v>
      </c>
      <c r="J12" s="521">
        <f>IF(ISNUMBER((('Resol  Asuntos'!D12/NºAsuntos!G12)-Datos!BF12)/Datos!BF12),(('Resol  Asuntos'!D12/NºAsuntos!G12)-Datos!BF12)/Datos!BF12," - ")</f>
        <v>-0.54486851486215082</v>
      </c>
      <c r="K12" s="522">
        <f>IF(ISNUMBER((((NºAsuntos!C12+NºAsuntos!E12)/NºAsuntos!G12)-Datos!BG12)/Datos!BG12),(((NºAsuntos!C12+NºAsuntos!E12)/NºAsuntos!G12)-Datos!BG12)/Datos!BG12," - ")</f>
        <v>-1.456005461793127E-2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0.3465625</v>
      </c>
      <c r="C14" s="1152">
        <f>IF(ISNUMBER(
   IF(J_V="SI",(Datos!J14-Datos!T14)/Datos!T14,(Datos!J14+Datos!Z14-(Datos!T14+Datos!AH14))/(Datos!T14+Datos!AH14))
     ),IF(J_V="SI",(Datos!J14-Datos!T14)/Datos!T14,(Datos!J14+Datos!Z14-(Datos!T14+Datos!AH14))/(Datos!T14+Datos!AH14))," - ")</f>
        <v>0.14224872231686542</v>
      </c>
      <c r="D14" s="1152">
        <f>IF(ISNUMBER(
   IF(J_V="SI",(Datos!K14-Datos!U14)/Datos!U14,(Datos!K14+Datos!AA14-(Datos!U14+Datos!AI14))/(Datos!U14+Datos!AI14))
     ),IF(J_V="SI",(Datos!K14-Datos!U14)/Datos!U14,(Datos!K14+Datos!AA14-(Datos!U14+Datos!AI14))/(Datos!U14+Datos!AI14))," - ")</f>
        <v>0.29562433297758806</v>
      </c>
      <c r="E14" s="1152">
        <f>IF(ISNUMBER(
   IF(J_V="SI",(Datos!L14-Datos!V14)/Datos!V14,(Datos!L14+Datos!AB14-(Datos!V14+Datos!AJ14))/(Datos!V14+Datos!AJ14))
     ),IF(J_V="SI",(Datos!L14-Datos!V14)/Datos!V14,(Datos!L14+Datos!AB14-(Datos!V14+Datos!AJ14))/(Datos!V14+Datos!AJ14))," - ")</f>
        <v>0.2658390410958904</v>
      </c>
      <c r="F14" s="1153">
        <f>IF(ISNUMBER((Datos!M14-Datos!W14)/Datos!W14),(Datos!M14-Datos!W14)/Datos!W14," - ")</f>
        <v>0.33580246913580247</v>
      </c>
      <c r="G14" s="1154">
        <f>IF(ISNUMBER((Datos!N14-Datos!X14)/Datos!X14),(Datos!N14-Datos!X14)/Datos!X14," - ")</f>
        <v>0.16610925306577481</v>
      </c>
      <c r="H14" s="1154">
        <f>IF(ISNUMBER(((NºAsuntos!G14/NºAsuntos!E14)-Datos!BD14)/Datos!BD14),((NºAsuntos!G14/NºAsuntos!E14)-Datos!BD14)/Datos!BD14," - ")</f>
        <v>0.13427514311386163</v>
      </c>
      <c r="I14" s="1154">
        <f>IF(ISNUMBER(((NºAsuntos!I14/NºAsuntos!G14)-Datos!BE14)/Datos!BE14),((NºAsuntos!I14/NºAsuntos!G14)-Datos!BE14)/Datos!BE14," - ")</f>
        <v>-2.2989142086615066E-2</v>
      </c>
      <c r="J14" s="1154">
        <f>IF(ISNUMBER((('Resol  Asuntos'!D14/NºAsuntos!G14)-Datos!BF14)/Datos!BF14),(('Resol  Asuntos'!D14/NºAsuntos!G14)-Datos!BF14)/Datos!BF14," - ")</f>
        <v>-0.53911776150939561</v>
      </c>
      <c r="K14" s="1154">
        <f>IF(ISNUMBER((((NºAsuntos!C14+NºAsuntos!E14)/NºAsuntos!G14)-Datos!BG14)/Datos!BG14),(((NºAsuntos!C14+NºAsuntos!E14)/NºAsuntos!G14)-Datos!BG14)/Datos!BG14," - ")</f>
        <v>-3.0105257290157948E-3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0.36960399571887265</v>
      </c>
      <c r="C17" s="515">
        <f>IF(ISNUMBER(
   IF(D_I="SI",(Datos!J17-Datos!T17)/Datos!T17,(Datos!J17+Datos!AD17-(Datos!T17+Datos!AL17))/(Datos!T17+Datos!AL17))
     ),IF(D_I="SI",(Datos!J17-Datos!T17)/Datos!T17,(Datos!J17+Datos!AD17-(Datos!T17+Datos!AL17))/(Datos!T17+Datos!AL17))," - ")</f>
        <v>-5.6765440913959297E-2</v>
      </c>
      <c r="D17" s="515">
        <f>IF(ISNUMBER(
   IF(D_I="SI",(Datos!K17-Datos!U17)/Datos!U17,(Datos!K17+Datos!AE17-(Datos!U17+Datos!AM17))/(Datos!U17+Datos!AM17))
     ),IF(D_I="SI",(Datos!K17-Datos!U17)/Datos!U17,(Datos!K17+Datos!AE17-(Datos!U17+Datos!AM17))/(Datos!U17+Datos!AM17))," - ")</f>
        <v>-0.12512998266897746</v>
      </c>
      <c r="E17" s="515">
        <f>IF(ISNUMBER(
   IF(D_I="SI",(Datos!L17-Datos!V17)/Datos!V17,(Datos!L17+Datos!AF17-(Datos!V17+Datos!AN17))/(Datos!V17+Datos!AN17))
     ),IF(D_I="SI",(Datos!L17-Datos!V17)/Datos!V17,(Datos!L17+Datos!AF17-(Datos!V17+Datos!AN17))/(Datos!V17+Datos!AN17))," - ")</f>
        <v>0.3546099290780142</v>
      </c>
      <c r="F17" s="515">
        <f>IF(ISNUMBER((Datos!M17-Datos!W17)/Datos!W17),(Datos!M17-Datos!W17)/Datos!W17," - ")</f>
        <v>2.1472392638036811E-2</v>
      </c>
      <c r="G17" s="516">
        <f>IF(ISNUMBER((Datos!N17-Datos!X17)/Datos!X17),(Datos!N17-Datos!X17)/Datos!X17," - ")</f>
        <v>-0.21064922933208782</v>
      </c>
      <c r="H17" s="514">
        <f>IF(ISNUMBER(((NºAsuntos!G17/NºAsuntos!E17)-Datos!BD17)/Datos!BD17),((NºAsuntos!G17/NºAsuntos!E17)-Datos!BD17)/Datos!BD17," - ")</f>
        <v>-7.2478834767526812E-2</v>
      </c>
      <c r="I17" s="515">
        <f>IF(ISNUMBER(((NºAsuntos!I17/NºAsuntos!G17)-Datos!BE17)/Datos!BE17),((NºAsuntos!I17/NºAsuntos!G17)-Datos!BE17)/Datos!BE17," - ")</f>
        <v>0.54835564397387893</v>
      </c>
      <c r="J17" s="521">
        <f>IF(ISNUMBER((('Resol  Asuntos'!D17/NºAsuntos!G17)-Datos!BF17)/Datos!BF17),(('Resol  Asuntos'!D17/NºAsuntos!G17)-Datos!BF17)/Datos!BF17," - ")</f>
        <v>0.16757046464371472</v>
      </c>
      <c r="K17" s="522">
        <f>IF(ISNUMBER((((NºAsuntos!C17+NºAsuntos!E17)/NºAsuntos!G17)-Datos!BG17)/Datos!BG17),(((NºAsuntos!C17+NºAsuntos!E17)/NºAsuntos!G17)-Datos!BG17)/Datos!BG17," - ")</f>
        <v>0.321905354563358</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-0.39548022598870058</v>
      </c>
      <c r="C18" s="515">
        <f>IF(ISNUMBER(
   IF(D_I="SI",(Datos!J18-Datos!T18)/Datos!T18,(Datos!J18+Datos!AD18-(Datos!T18+Datos!AL18))/(Datos!T18+Datos!AL18))
     ),IF(D_I="SI",(Datos!J18-Datos!T18)/Datos!T18,(Datos!J18+Datos!AD18-(Datos!T18+Datos!AL18))/(Datos!T18+Datos!AL18))," - ")</f>
        <v>-0.12311557788944724</v>
      </c>
      <c r="D18" s="515">
        <f>IF(ISNUMBER(
   IF(D_I="SI",(Datos!K18-Datos!U18)/Datos!U18,(Datos!K18+Datos!AE18-(Datos!U18+Datos!AM18))/(Datos!U18+Datos!AM18))
     ),IF(D_I="SI",(Datos!K18-Datos!U18)/Datos!U18,(Datos!K18+Datos!AE18-(Datos!U18+Datos!AM18))/(Datos!U18+Datos!AM18))," - ")</f>
        <v>-0.22695035460992907</v>
      </c>
      <c r="E18" s="515">
        <f>IF(ISNUMBER(
   IF(D_I="SI",(Datos!L18-Datos!V18)/Datos!V18,(Datos!L18+Datos!AF18-(Datos!V18+Datos!AN18))/(Datos!V18+Datos!AN18))
     ),IF(D_I="SI",(Datos!L18-Datos!V18)/Datos!V18,(Datos!L18+Datos!AF18-(Datos!V18+Datos!AN18))/(Datos!V18+Datos!AN18))," - ")</f>
        <v>-0.16129032258064516</v>
      </c>
      <c r="F18" s="515">
        <f>IF(ISNUMBER((Datos!M18-Datos!W18)/Datos!W18),(Datos!M18-Datos!W18)/Datos!W18," - ")</f>
        <v>0</v>
      </c>
      <c r="G18" s="516">
        <f>IF(ISNUMBER((Datos!N18-Datos!X18)/Datos!X18),(Datos!N18-Datos!X18)/Datos!X18," - ")</f>
        <v>-0.31349206349206349</v>
      </c>
      <c r="H18" s="514">
        <f>IF(ISNUMBER(((NºAsuntos!G18/NºAsuntos!E18)-Datos!BD18)/Datos!BD18),((NºAsuntos!G18/NºAsuntos!E18)-Datos!BD18)/Datos!BD18," - ")</f>
        <v>-0.11841329838037755</v>
      </c>
      <c r="I18" s="515">
        <f>IF(ISNUMBER(((NºAsuntos!I18/NºAsuntos!G18)-Datos!BE18)/Datos!BE18),((NºAsuntos!I18/NºAsuntos!G18)-Datos!BE18)/Datos!BE18," - ")</f>
        <v>8.4936371707605832E-2</v>
      </c>
      <c r="J18" s="521">
        <f>IF(ISNUMBER((('Resol  Asuntos'!D18/NºAsuntos!G18)-Datos!BF18)/Datos!BF18),(('Resol  Asuntos'!D18/NºAsuntos!G18)-Datos!BF18)/Datos!BF18," - ")</f>
        <v>0.29357798165137627</v>
      </c>
      <c r="K18" s="522">
        <f>IF(ISNUMBER((((NºAsuntos!C18+NºAsuntos!E18)/NºAsuntos!G18)-Datos!BG18)/Datos!BG18),(((NºAsuntos!C18+NºAsuntos!E18)/NºAsuntos!G18)-Datos!BG18)/Datos!BG18," - ")</f>
        <v>2.5863581970482649E-2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0.32416107382550335</v>
      </c>
      <c r="C23" s="1152">
        <f>IF(ISNUMBER(
   IF(Criterios!B14="SI",(Datos!J23-Datos!T23)/Datos!T23,(Datos!J23+Datos!AD23-(Datos!T23+Datos!AL23))/(Datos!T23+Datos!AL23))
     ),IF(Criterios!B14="SI",(Datos!J23-Datos!T23)/Datos!T23,(Datos!J23+Datos!AD23-(Datos!T23+Datos!AL23))/(Datos!T23+Datos!AL23))," - ")</f>
        <v>-6.5020318849640518E-2</v>
      </c>
      <c r="D23" s="1152">
        <f>IF(ISNUMBER(
   IF(Criterios!B14="SI",(Datos!K23-Datos!U23)/Datos!U23,(Datos!K23+Datos!AE23-(Datos!U23+Datos!AM23))/(Datos!U23+Datos!AM23))
     ),IF(Criterios!B14="SI",(Datos!K23-Datos!U23)/Datos!U23,(Datos!K23+Datos!AE23-(Datos!U23+Datos!AM23))/(Datos!U23+Datos!AM23))," - ")</f>
        <v>-0.13814993954050786</v>
      </c>
      <c r="E23" s="1152">
        <f>IF(ISNUMBER(
   IF(Criterios!B14="SI",(Datos!L23-Datos!V23)/Datos!V23,(Datos!L23+Datos!AF23-(Datos!V23+Datos!AN23))/(Datos!V23+Datos!AN23))
     ),IF(Criterios!B14="SI",(Datos!L23-Datos!V23)/Datos!V23,(Datos!L23+Datos!AF23-(Datos!V23+Datos!AN23))/(Datos!V23+Datos!AN23))," - ")</f>
        <v>0.32894736842105265</v>
      </c>
      <c r="F23" s="1153">
        <f>IF(ISNUMBER((Datos!M23-Datos!W23)/Datos!W23),(Datos!M23-Datos!W23)/Datos!W23," - ")</f>
        <v>2.0348837209302327E-2</v>
      </c>
      <c r="G23" s="1154">
        <f>IF(ISNUMBER((Datos!N23-Datos!X23)/Datos!X23),(Datos!N23-Datos!X23)/Datos!X23," - ")</f>
        <v>-0.22147931466778104</v>
      </c>
      <c r="H23" s="1154">
        <f>IF(ISNUMBER(((NºAsuntos!G23/NºAsuntos!E23)-Datos!BD23)/Datos!BD23),((NºAsuntos!G23/NºAsuntos!E23)-Datos!BD23)/Datos!BD23," - ")</f>
        <v>-7.8215197790065014E-2</v>
      </c>
      <c r="I23" s="1154">
        <f>IF(ISNUMBER(((NºAsuntos!I23/NºAsuntos!G23)-Datos!BE23)/Datos!BE23),((NºAsuntos!I23/NºAsuntos!G23)-Datos!BE23)/Datos!BE23," - ")</f>
        <v>0.54197049973231914</v>
      </c>
      <c r="J23" s="1154">
        <f>IF(ISNUMBER((('Resol  Asuntos'!D23/NºAsuntos!G23)-Datos!BF23)/Datos!BF23),(('Resol  Asuntos'!D23/NºAsuntos!G23)-Datos!BF23)/Datos!BF23," - ")</f>
        <v>0.18390528007308737</v>
      </c>
      <c r="K23" s="1154">
        <f>IF(ISNUMBER((((NºAsuntos!C23+NºAsuntos!E23)/NºAsuntos!G23)-Datos!BG23)/Datos!BG23),(((NºAsuntos!C23+NºAsuntos!E23)/NºAsuntos!G23)-Datos!BG23)/Datos!BG23," - ")</f>
        <v>0.30263212046051158</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0.33944562899786779</v>
      </c>
      <c r="C31" s="1092">
        <f>IF(ISNUMBER(
   IF(J_V="SI",(Datos!J31-Datos!T31)/Datos!T31,(Datos!J31+Datos!Z31-(Datos!T31+Datos!AH31))/(Datos!T31+Datos!AH31))
     ),IF(J_V="SI",(Datos!J31-Datos!T31)/Datos!T31,(Datos!J31+Datos!Z31-(Datos!T31+Datos!AH31))/(Datos!T31+Datos!AH31))," - ")</f>
        <v>2.2714981070849107E-2</v>
      </c>
      <c r="D31" s="1092">
        <f>IF(ISNUMBER(
   IF(J_V="SI",(Datos!K31-Datos!U31)/Datos!U31,(Datos!K31+Datos!AA31-(Datos!U31+Datos!AI31))/(Datos!U31+Datos!AI31))
     ),IF(J_V="SI",(Datos!K31-Datos!U31)/Datos!U31,(Datos!K31+Datos!AA31-(Datos!U31+Datos!AI31))/(Datos!U31+Datos!AI31))," - ")</f>
        <v>1.8718641451177152E-2</v>
      </c>
      <c r="E31" s="1092">
        <f>IF(ISNUMBER(
   IF(J_V="SI",(Datos!L31-Datos!V31)/Datos!V31,(Datos!L31+Datos!AB31-(Datos!V31+Datos!AJ31))/(Datos!V31+Datos!AJ31))
     ),IF(J_V="SI",(Datos!L31-Datos!V31)/Datos!V31,(Datos!L31+Datos!AB31-(Datos!V31+Datos!AJ31))/(Datos!V31+Datos!AJ31))," - ")</f>
        <v>0.28526274199920981</v>
      </c>
      <c r="F31" s="1093">
        <f>IF(ISNUMBER((Datos!M31-Datos!W31)/Datos!W31),(Datos!M31-Datos!W31)/Datos!W31," - ")</f>
        <v>0.19092122830440589</v>
      </c>
      <c r="G31" s="1094">
        <f>IF(ISNUMBER((Datos!N31-Datos!X31)/Datos!X31),(Datos!N31-Datos!X31)/Datos!X31," - ")</f>
        <v>-0.11580547112462006</v>
      </c>
      <c r="H31" s="1095">
        <f>IF(ISNUMBER((Tasas!B31-Datos!BD31)/Datos!BD31),(Tasas!B31-Datos!BD31)/Datos!BD31," - ")</f>
        <v>-3.9075790358399556E-3</v>
      </c>
      <c r="I31" s="1096">
        <f>IF(ISNUMBER((Tasas!C31-Datos!BE31)/Datos!BE31),(Tasas!C31-Datos!BE31)/Datos!BE31," - ")</f>
        <v>0.26164643474898752</v>
      </c>
      <c r="J31" s="1097">
        <f>IF(ISNUMBER((Tasas!D31-Datos!BF31)/Datos!BF31),(Tasas!D31-Datos!BF31)/Datos!BF31," - ")</f>
        <v>-0.29951218033718507</v>
      </c>
      <c r="K31" s="1097">
        <f>IF(ISNUMBER((Tasas!E31-Datos!BG31)/Datos!BG31),(Tasas!E31-Datos!BG31)/Datos!BG31," - ")</f>
        <v>0.19929662616575902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PGHxGlJ7Dx1uEpAf0XivN+UYYCi9pIttzTNT2XH7A/WNvpmfWvjmioiwPpBNcvlIes9lsWTcRX1FqQ4yAyz7xw==" saltValue="vEHq3hjEyeHruUW3IeLeR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MADRID</v>
      </c>
    </row>
    <row r="3" spans="1:7" ht="19.5">
      <c r="A3" s="491" t="s">
        <v>17</v>
      </c>
      <c r="B3" s="439" t="str">
        <f>Criterios!A10 &amp;"  "&amp;Criterios!B10</f>
        <v>Provincias  MADRID</v>
      </c>
    </row>
    <row r="4" spans="1:7" ht="11.25" customHeight="1" thickBot="1">
      <c r="B4" s="439" t="str">
        <f>Criterios!A11 &amp;"  "&amp;Criterios!B11</f>
        <v>Resumenes por Partidos Judiciales  ARGANDA DEL REY</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0.70454545454545459</v>
      </c>
      <c r="C10" s="498">
        <f>IF(ISNUMBER(NºAsuntos!I10/NºAsuntos!G10),NºAsuntos!I10/NºAsuntos!G10," - ")</f>
        <v>1.6129032258064515</v>
      </c>
      <c r="D10" s="499">
        <f>IF(ISNUMBER('Resol  Asuntos'!D10/NºAsuntos!G10),'Resol  Asuntos'!D10/NºAsuntos!G10," - ")</f>
        <v>0.38709677419354838</v>
      </c>
      <c r="E10" s="500">
        <f>IF(ISNUMBER((NºAsuntos!C10+NºAsuntos!E10)/NºAsuntos!G10),(NºAsuntos!C10+NºAsuntos!E10)/NºAsuntos!G10," - ")</f>
        <v>2.6129032258064515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0.90864291129643671</v>
      </c>
      <c r="C12" s="498">
        <f>IF(ISNUMBER(NºAsuntos!I12/NºAsuntos!G12),NºAsuntos!I12/NºAsuntos!G12," - ")</f>
        <v>3.6800166875260745</v>
      </c>
      <c r="D12" s="499">
        <f>IF(ISNUMBER('Resol  Asuntos'!D12/NºAsuntos!G12),'Resol  Asuntos'!D12/NºAsuntos!G12," - ")</f>
        <v>0.22069253233208178</v>
      </c>
      <c r="E12" s="500">
        <f>IF(ISNUMBER((NºAsuntos!C12+NºAsuntos!E12)/NºAsuntos!G12),(NºAsuntos!C12+NºAsuntos!E12)/NºAsuntos!G12," - ")</f>
        <v>4.6804338756779309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0.90529455630126776</v>
      </c>
      <c r="C14" s="1156">
        <f>IF(ISNUMBER(NºAsuntos!I14/NºAsuntos!G14),NºAsuntos!I14/NºAsuntos!G14," - ")</f>
        <v>3.6536243822075782</v>
      </c>
      <c r="D14" s="1157">
        <f>IF(ISNUMBER('Resol  Asuntos'!D14/NºAsuntos!G14),'Resol  Asuntos'!D14/NºAsuntos!G14," - ")</f>
        <v>0.22281713344316309</v>
      </c>
      <c r="E14" s="1158">
        <f>IF(ISNUMBER((NºAsuntos!C14+NºAsuntos!E14)/NºAsuntos!G14),(NºAsuntos!C14+NºAsuntos!E14)/NºAsuntos!G14," - ")</f>
        <v>4.6540362438220759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0.95533686601059808</v>
      </c>
      <c r="C17" s="498">
        <f>IF(ISNUMBER(NºAsuntos!I17/NºAsuntos!G17),NºAsuntos!I17/NºAsuntos!G17," - ")</f>
        <v>1.5891442155309032</v>
      </c>
      <c r="D17" s="499">
        <f>IF(ISNUMBER('Resol  Asuntos'!D17/NºAsuntos!G17),'Resol  Asuntos'!D17/NºAsuntos!G17," - ")</f>
        <v>0.13193343898573692</v>
      </c>
      <c r="E17" s="500">
        <f>IF(ISNUMBER((NºAsuntos!C17+NºAsuntos!E17)/NºAsuntos!G17),(NºAsuntos!C17+NºAsuntos!E17)/NºAsuntos!G17," - ")</f>
        <v>2.5677496038034864</v>
      </c>
      <c r="G17" s="523"/>
    </row>
    <row r="18" spans="1:7">
      <c r="A18" s="450" t="str">
        <f>Datos!A18</f>
        <v>Jdos. Violencia contra la mujer</v>
      </c>
      <c r="B18" s="497">
        <f>IF(ISNUMBER(NºAsuntos!G18/NºAsuntos!E18),NºAsuntos!G18/NºAsuntos!E18," - ")</f>
        <v>0.93696275071633239</v>
      </c>
      <c r="C18" s="498">
        <f>IF(ISNUMBER(NºAsuntos!I18/NºAsuntos!G18),NºAsuntos!I18/NºAsuntos!G18," - ")</f>
        <v>0.39755351681957185</v>
      </c>
      <c r="D18" s="499">
        <f>IF(ISNUMBER('Resol  Asuntos'!D18/NºAsuntos!G18),'Resol  Asuntos'!D18/NºAsuntos!G18," - ")</f>
        <v>5.5045871559633031E-2</v>
      </c>
      <c r="E18" s="500">
        <f>IF(ISNUMBER((NºAsuntos!C18+NºAsuntos!E18)/NºAsuntos!G18),(NºAsuntos!C18+NºAsuntos!E18)/NºAsuntos!G18," - ")</f>
        <v>1.3944954128440368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0.95319291206954193</v>
      </c>
      <c r="C23" s="1156">
        <f>IF(ISNUMBER(NºAsuntos!I23/NºAsuntos!G23),NºAsuntos!I23/NºAsuntos!G23," - ")</f>
        <v>1.4524728165555945</v>
      </c>
      <c r="D23" s="1159">
        <f>IF(ISNUMBER('Resol  Asuntos'!D23/NºAsuntos!G23),'Resol  Asuntos'!D23/NºAsuntos!G23," - ")</f>
        <v>0.12311469659768502</v>
      </c>
      <c r="E23" s="1158">
        <f>IF(ISNUMBER((NºAsuntos!C23+NºAsuntos!E23)/NºAsuntos!G23),(NºAsuntos!C23+NºAsuntos!E23)/NºAsuntos!G23," - ")</f>
        <v>2.4331813398807438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0.93054821082319761</v>
      </c>
      <c r="C31" s="1099">
        <f>IF(ISNUMBER(NºAsuntos!I31/NºAsuntos!G31),NºAsuntos!I31/NºAsuntos!G31," - ")</f>
        <v>2.4648607690850541</v>
      </c>
      <c r="D31" s="1100">
        <f>IF(ISNUMBER('Resol  Asuntos'!D31/NºAsuntos!G31),'Resol  Asuntos'!D31/NºAsuntos!G31," - ")</f>
        <v>0.16897139609774578</v>
      </c>
      <c r="E31" s="1101">
        <f>IF(ISNUMBER((NºAsuntos!C31+NºAsuntos!E31)/NºAsuntos!G31),(NºAsuntos!C31+NºAsuntos!E31)/NºAsuntos!G31," - ")</f>
        <v>3.4546315590073879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BfHHFoGH33VZNo0BjPOzlfnuGiXNkKll0WmgjwZjB3CFOvUvDFRTrnPeJlu0tDyq3YfUx9NrkjdVK+ZoP8EO3g==" saltValue="lSHbVYmq26OTUiyVZPv6f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MADRID</v>
      </c>
      <c r="G2" s="369"/>
      <c r="H2" s="368"/>
      <c r="I2" s="368"/>
      <c r="J2" s="368"/>
      <c r="K2" s="368"/>
      <c r="L2" s="368" t="str">
        <f>Criterios!A10 &amp;"  "&amp;Criterios!B10</f>
        <v>Provincias  MADRID</v>
      </c>
      <c r="N2" s="368" t="str">
        <f>Criterios!A11 &amp;"  "&amp;Criterios!B11</f>
        <v>Resumenes por Partidos Judiciales  ARGANDA DEL REY</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37</v>
      </c>
      <c r="G10" s="373">
        <f>IF(ISNUMBER(Datos!I10),Datos!I10," - ")</f>
        <v>37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9</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31</v>
      </c>
      <c r="X10" s="240">
        <f>IF(ISNUMBER(Datos!Q10),Datos!Q10," - ")</f>
        <v>7</v>
      </c>
      <c r="Y10" s="374">
        <f t="shared" ref="Y10:Y13" si="0">SUM(W10:X10)</f>
        <v>38</v>
      </c>
      <c r="Z10" s="375" t="str">
        <f>IF(ISNUMBER(Datos!CC10),Datos!CC10," - ")</f>
        <v xml:space="preserve"> - </v>
      </c>
      <c r="AA10" s="372">
        <f>IF(ISNUMBER(Datos!L10),Datos!L10,"-")</f>
        <v>50</v>
      </c>
      <c r="AB10" s="374">
        <f>IF(ISNUMBER(Datos!R10),Datos!R10," - ")</f>
        <v>90</v>
      </c>
      <c r="AC10" s="374">
        <f t="shared" ref="AC10:AC13" si="1">IF(ISNUMBER(AA10+AB10),AA10+AB10," - ")</f>
        <v>140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12</v>
      </c>
      <c r="AJ10" s="245" t="str">
        <f>IF(ISNUMBER(Datos!BW10),Datos!BW10," - ")</f>
        <v xml:space="preserve"> - </v>
      </c>
      <c r="AK10" s="246" t="str">
        <f>IF(ISNUMBER(Datos!BX10),Datos!BX10," - ")</f>
        <v xml:space="preserve"> - </v>
      </c>
      <c r="AL10" s="266">
        <f>IF(ISNUMBER(NºAsuntos!G10/NºAsuntos!E10),NºAsuntos!G10/NºAsuntos!E10," - ")</f>
        <v>0.70454545454545459</v>
      </c>
      <c r="AM10" s="284">
        <f>IF(ISNUMBER(((NºAsuntos!I10/NºAsuntos!G10)*11)/factor_trimestre),((NºAsuntos!I10/NºAsuntos!G10)*11)/factor_trimestre," - ")</f>
        <v>4.838709677419355</v>
      </c>
      <c r="AN10" s="267">
        <f>IF(ISNUMBER('Resol  Asuntos'!D10/NºAsuntos!G10),'Resol  Asuntos'!D10/NºAsuntos!G10," - ")</f>
        <v>0.38709677419354838</v>
      </c>
      <c r="AO10" s="268">
        <f>IF(ISNUMBER((NºAsuntos!C10+NºAsuntos!E10)/NºAsuntos!G10),(NºAsuntos!C10+NºAsuntos!E10)/NºAsuntos!G10," - ")</f>
        <v>2.6129032258064515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9</v>
      </c>
      <c r="B12" s="300" t="s">
        <v>321</v>
      </c>
      <c r="C12" s="7" t="str">
        <f>Datos!A12</f>
        <v xml:space="preserve">Jdos. 1ª Instª. e Instr.                        </v>
      </c>
      <c r="D12" s="7"/>
      <c r="E12" s="1402">
        <f>IF(ISNUMBER(Datos!AQ12),Datos!AQ12," - ")</f>
        <v>9</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391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314</v>
      </c>
      <c r="Y12" s="374">
        <f t="shared" si="0"/>
        <v>314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9297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529</v>
      </c>
      <c r="AJ12" s="243" t="str">
        <f>IF(ISNUMBER(Datos!BW12),Datos!BW12," - ")</f>
        <v xml:space="preserve"> - </v>
      </c>
      <c r="AK12" s="242" t="str">
        <f>IF(ISNUMBER(Datos!BX12),Datos!BX12," - ")</f>
        <v xml:space="preserve"> - </v>
      </c>
      <c r="AL12" s="266">
        <f>IF(ISNUMBER(NºAsuntos!G12/NºAsuntos!E12),NºAsuntos!G12/NºAsuntos!E12," - ")</f>
        <v>0.90864291129643671</v>
      </c>
      <c r="AM12" s="284">
        <f>IF(ISNUMBER(((NºAsuntos!I12/NºAsuntos!G12)*11)/factor_trimestre),((NºAsuntos!I12/NºAsuntos!G12)*11)/factor_trimestre," - ")</f>
        <v>11.040050062578224</v>
      </c>
      <c r="AN12" s="267">
        <f>IF(ISNUMBER('Resol  Asuntos'!D12/NºAsuntos!G12),'Resol  Asuntos'!D12/NºAsuntos!G12," - ")</f>
        <v>0.22069253233208178</v>
      </c>
      <c r="AO12" s="268">
        <f>IF(ISNUMBER((NºAsuntos!C12+NºAsuntos!E12)/NºAsuntos!G12),(NºAsuntos!C12+NºAsuntos!E12)/NºAsuntos!G12," - ")</f>
        <v>4.6804338756779309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10</v>
      </c>
      <c r="F14" s="1162">
        <f t="shared" si="5"/>
        <v>37</v>
      </c>
      <c r="G14" s="1163">
        <f t="shared" si="5"/>
        <v>37</v>
      </c>
      <c r="H14" s="1162">
        <f t="shared" si="5"/>
        <v>0</v>
      </c>
      <c r="I14" s="1164">
        <f t="shared" si="5"/>
        <v>0</v>
      </c>
      <c r="J14" s="1164">
        <f t="shared" si="5"/>
        <v>0</v>
      </c>
      <c r="K14" s="1164">
        <f t="shared" si="5"/>
        <v>0</v>
      </c>
      <c r="L14" s="1164">
        <f t="shared" si="5"/>
        <v>400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31</v>
      </c>
      <c r="X14" s="1164">
        <f t="shared" si="6"/>
        <v>321</v>
      </c>
      <c r="Y14" s="1165">
        <f t="shared" si="6"/>
        <v>352</v>
      </c>
      <c r="Z14" s="1165">
        <f t="shared" si="6"/>
        <v>0</v>
      </c>
      <c r="AA14" s="1165">
        <f t="shared" si="6"/>
        <v>50</v>
      </c>
      <c r="AB14" s="1165">
        <f t="shared" si="6"/>
        <v>9387</v>
      </c>
      <c r="AC14" s="1165">
        <f t="shared" si="6"/>
        <v>140</v>
      </c>
      <c r="AD14" s="1165">
        <f t="shared" si="6"/>
        <v>0</v>
      </c>
      <c r="AE14" s="1169">
        <f t="shared" si="6"/>
        <v>0</v>
      </c>
      <c r="AF14" s="1162">
        <f t="shared" si="6"/>
        <v>0</v>
      </c>
      <c r="AG14" s="1170">
        <f t="shared" si="6"/>
        <v>0</v>
      </c>
      <c r="AH14" s="1167">
        <f t="shared" si="6"/>
        <v>0</v>
      </c>
      <c r="AI14" s="1162">
        <f t="shared" si="6"/>
        <v>541</v>
      </c>
      <c r="AJ14" s="1164">
        <f t="shared" si="6"/>
        <v>0</v>
      </c>
      <c r="AK14" s="1167">
        <f>SUBTOTAL(9,AK9:AK13)</f>
        <v>0</v>
      </c>
      <c r="AL14" s="1171">
        <f>IF(ISNUMBER(NºAsuntos!G14/NºAsuntos!E14),NºAsuntos!G14/NºAsuntos!E14," - ")</f>
        <v>0.90529455630126776</v>
      </c>
      <c r="AM14" s="1171">
        <f>IF(ISNUMBER(((NºAsuntos!I14/NºAsuntos!G14)*11)/factor_trimestre),((NºAsuntos!I14/NºAsuntos!G14)*11)/factor_trimestre," - ")</f>
        <v>10.960873146622735</v>
      </c>
      <c r="AN14" s="1172">
        <f>IF(ISNUMBER('Resol  Asuntos'!D14/NºAsuntos!G14),'Resol  Asuntos'!D14/NºAsuntos!G14," - ")</f>
        <v>0.22281713344316309</v>
      </c>
      <c r="AO14" s="1173">
        <f>IF(ISNUMBER((NºAsuntos!C14+NºAsuntos!E14)/NºAsuntos!G14),(NºAsuntos!C14+NºAsuntos!E14)/NºAsuntos!G14," - ")</f>
        <v>4.6540362438220759</v>
      </c>
      <c r="AP14" s="1174" t="str">
        <f t="shared" si="2"/>
        <v xml:space="preserve"> - </v>
      </c>
      <c r="AQ14" s="1174">
        <f>IF(ISNUMBER((H14-W14+K14)/(F14)),(H14-W14+K14)/(F14)," - ")</f>
        <v>-0.83783783783783783</v>
      </c>
      <c r="AR14" s="1175">
        <f>IF(ISNUMBER((Datos!P14-Datos!Q14)/(Datos!R14-Datos!P14+Datos!Q14)),(Datos!P14-Datos!Q14)/(Datos!R14-Datos!P14+Datos!Q14)," - ")</f>
        <v>8.4873227331327891E-3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9</v>
      </c>
      <c r="B17" s="300" t="s">
        <v>511</v>
      </c>
      <c r="C17" s="173" t="str">
        <f>Datos!A17</f>
        <v xml:space="preserve">Jdos. 1ª Instª. e Instr.                        </v>
      </c>
      <c r="D17" s="173"/>
      <c r="E17" s="1402">
        <f>IF(ISNUMBER(Datos!AQ17),Datos!AQ17," - ")</f>
        <v>9</v>
      </c>
      <c r="F17" s="239">
        <f>IF(ISNUMBER(AA17+W17-Datos!J17-K17),AA17+W17-Datos!J17-K17," - ")</f>
        <v>3893</v>
      </c>
      <c r="G17" s="373">
        <f>IF(ISNUMBER(IF(D_I="SI",Datos!I17,Datos!I17+Datos!AC17)),IF(D_I="SI",Datos!I17,Datos!I17+Datos!AC17)," - ")</f>
        <v>3839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86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2524</v>
      </c>
      <c r="X17" s="240">
        <f>IF(ISNUMBER(Datos!Q17),Datos!Q17," - ")</f>
        <v>94</v>
      </c>
      <c r="Y17" s="374">
        <f t="shared" ref="Y17:Y22" si="9">SUM(W17:X17)</f>
        <v>2618</v>
      </c>
      <c r="Z17" s="375" t="str">
        <f>IF(ISNUMBER(Datos!CC17),Datos!CC17," - ")</f>
        <v xml:space="preserve"> - </v>
      </c>
      <c r="AA17" s="372">
        <f>IF(ISNUMBER(IF(D_I="SI",Datos!L17,Datos!L17+Datos!AF17)),IF(D_I="SI",Datos!L17,Datos!L17+Datos!AF17)," - ")</f>
        <v>4011</v>
      </c>
      <c r="AB17" s="374">
        <f>IF(ISNUMBER(Datos!R17),Datos!R17," - ")</f>
        <v>540</v>
      </c>
      <c r="AC17" s="374">
        <f t="shared" si="8"/>
        <v>4551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333</v>
      </c>
      <c r="AJ17" s="245" t="str">
        <f>IF(ISNUMBER(Datos!BW17),Datos!BW17," - ")</f>
        <v xml:space="preserve"> - </v>
      </c>
      <c r="AK17" s="246" t="str">
        <f>IF(ISNUMBER(Datos!BX17),Datos!BX17," - ")</f>
        <v xml:space="preserve"> - </v>
      </c>
      <c r="AL17" s="266">
        <f>IF(ISNUMBER(NºAsuntos!G17/NºAsuntos!E17),NºAsuntos!G17/NºAsuntos!E17," - ")</f>
        <v>0.95533686601059808</v>
      </c>
      <c r="AM17" s="284">
        <f>IF(ISNUMBER(((NºAsuntos!I17/NºAsuntos!G17)*11)/factor_trimestre),((NºAsuntos!I17/NºAsuntos!G17)*11)/factor_trimestre," - ")</f>
        <v>4.7674326465927104</v>
      </c>
      <c r="AN17" s="267">
        <f>IF(ISNUMBER('Resol  Asuntos'!D17/NºAsuntos!G17),'Resol  Asuntos'!D17/NºAsuntos!G17," - ")</f>
        <v>0.13193343898573692</v>
      </c>
      <c r="AO17" s="268">
        <f>IF(ISNUMBER((NºAsuntos!C17+NºAsuntos!E17)/NºAsuntos!G17),(NºAsuntos!C17+NºAsuntos!E17)/NºAsuntos!G17," - ")</f>
        <v>2.5677496038034864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107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327</v>
      </c>
      <c r="X18" s="240">
        <f>IF(ISNUMBER(Datos!Q18),Datos!Q18," - ")</f>
        <v>0</v>
      </c>
      <c r="Y18" s="374">
        <f t="shared" si="9"/>
        <v>327</v>
      </c>
      <c r="Z18" s="375" t="str">
        <f>IF(ISNUMBER(Datos!CC18),Datos!CC18," - ")</f>
        <v xml:space="preserve"> - </v>
      </c>
      <c r="AA18" s="372">
        <f>IF(ISNUMBER(Datos!L18),Datos!L18,"-")</f>
        <v>130</v>
      </c>
      <c r="AB18" s="374">
        <f>IF(ISNUMBER(Datos!R18),Datos!R18," - ")</f>
        <v>4</v>
      </c>
      <c r="AC18" s="374">
        <f t="shared" si="8"/>
        <v>134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18</v>
      </c>
      <c r="AJ18" s="245" t="str">
        <f>IF(ISNUMBER(Datos!BW18),Datos!BW18," - ")</f>
        <v xml:space="preserve"> - </v>
      </c>
      <c r="AK18" s="246" t="str">
        <f>IF(ISNUMBER(Datos!BX18),Datos!BX18," - ")</f>
        <v xml:space="preserve"> - </v>
      </c>
      <c r="AL18" s="266">
        <f>IF(ISNUMBER(NºAsuntos!G18/NºAsuntos!E18),NºAsuntos!G18/NºAsuntos!E18," - ")</f>
        <v>0.93696275071633239</v>
      </c>
      <c r="AM18" s="284">
        <f>IF(ISNUMBER(((NºAsuntos!I18/NºAsuntos!G18)*11)/factor_trimestre),((NºAsuntos!I18/NºAsuntos!G18)*11)/factor_trimestre," - ")</f>
        <v>1.1926605504587156</v>
      </c>
      <c r="AN18" s="267">
        <f>IF(ISNUMBER('Resol  Asuntos'!D18/NºAsuntos!G18),'Resol  Asuntos'!D18/NºAsuntos!G18," - ")</f>
        <v>5.5045871559633031E-2</v>
      </c>
      <c r="AO18" s="268">
        <f>IF(ISNUMBER((NºAsuntos!C18+NºAsuntos!E18)/NºAsuntos!G18),(NºAsuntos!C18+NºAsuntos!E18)/NºAsuntos!G18," - ")</f>
        <v>1.3944954128440368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10</v>
      </c>
      <c r="F23" s="1162">
        <f>SUBTOTAL(9,F15:F22)</f>
        <v>3893</v>
      </c>
      <c r="G23" s="1163">
        <f>SUBTOTAL(9,G16:G22)</f>
        <v>3946</v>
      </c>
      <c r="H23" s="1162">
        <f t="shared" ref="H23:O23" si="13">SUBTOTAL(9,H15:H22)</f>
        <v>0</v>
      </c>
      <c r="I23" s="1164">
        <f t="shared" si="13"/>
        <v>0</v>
      </c>
      <c r="J23" s="1164">
        <f t="shared" si="13"/>
        <v>0</v>
      </c>
      <c r="K23" s="1164">
        <f t="shared" si="13"/>
        <v>0</v>
      </c>
      <c r="L23" s="1164">
        <f t="shared" si="13"/>
        <v>87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2851</v>
      </c>
      <c r="X23" s="1164">
        <f t="shared" si="14"/>
        <v>94</v>
      </c>
      <c r="Y23" s="1165">
        <f t="shared" si="14"/>
        <v>2945</v>
      </c>
      <c r="Z23" s="1165">
        <f t="shared" si="14"/>
        <v>0</v>
      </c>
      <c r="AA23" s="1165">
        <f t="shared" si="14"/>
        <v>4141</v>
      </c>
      <c r="AB23" s="1165">
        <f t="shared" si="14"/>
        <v>544</v>
      </c>
      <c r="AC23" s="1165">
        <f t="shared" si="14"/>
        <v>4685</v>
      </c>
      <c r="AD23" s="1165">
        <f t="shared" si="14"/>
        <v>0</v>
      </c>
      <c r="AE23" s="1169">
        <f t="shared" si="14"/>
        <v>0</v>
      </c>
      <c r="AF23" s="1162">
        <f t="shared" si="14"/>
        <v>0</v>
      </c>
      <c r="AG23" s="1170">
        <f t="shared" si="14"/>
        <v>0</v>
      </c>
      <c r="AH23" s="1167">
        <f t="shared" si="14"/>
        <v>0</v>
      </c>
      <c r="AI23" s="1162">
        <f t="shared" si="14"/>
        <v>351</v>
      </c>
      <c r="AJ23" s="1164">
        <f t="shared" si="14"/>
        <v>0</v>
      </c>
      <c r="AK23" s="1167">
        <f t="shared" si="14"/>
        <v>0</v>
      </c>
      <c r="AL23" s="1171">
        <f>IF(ISNUMBER(NºAsuntos!G23/NºAsuntos!E23),NºAsuntos!G23/NºAsuntos!E23," - ")</f>
        <v>0.95319291206954193</v>
      </c>
      <c r="AM23" s="1171">
        <f>IF(ISNUMBER(((NºAsuntos!I23/NºAsuntos!G23)*11)/factor_trimestre),((NºAsuntos!I23/NºAsuntos!G23)*11)/factor_trimestre," - ")</f>
        <v>4.3574184496667838</v>
      </c>
      <c r="AN23" s="1172">
        <f>IF(ISNUMBER('Resol  Asuntos'!D23/NºAsuntos!G23),'Resol  Asuntos'!D23/NºAsuntos!G23," - ")</f>
        <v>0.12311469659768502</v>
      </c>
      <c r="AO23" s="1173">
        <f>IF(ISNUMBER((NºAsuntos!C23+NºAsuntos!E23)/NºAsuntos!G23),(NºAsuntos!C23+NºAsuntos!E23)/NºAsuntos!G23," - ")</f>
        <v>2.4331813398807438</v>
      </c>
      <c r="AP23" s="1174" t="str">
        <f t="shared" si="2"/>
        <v xml:space="preserve"> - </v>
      </c>
      <c r="AQ23" s="1174">
        <f>IF(ISNUMBER((H23-W23+K23)/(F23)),(H23-W23+K23)/(F23)," - ")</f>
        <v>-0.73234009761109686</v>
      </c>
      <c r="AR23" s="1175">
        <f>IF(ISNUMBER((Datos!P23-Datos!Q23)/(Datos!R23-Datos!P23+Datos!Q23)),(Datos!P23-Datos!Q23)/(Datos!R23-Datos!P23+Datos!Q23)," - ")</f>
        <v>-1.2704174228675136E-2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20</v>
      </c>
      <c r="F31" s="1117">
        <f t="shared" si="20"/>
        <v>3930</v>
      </c>
      <c r="G31" s="1118">
        <f t="shared" si="20"/>
        <v>3983</v>
      </c>
      <c r="H31" s="1117">
        <f t="shared" si="20"/>
        <v>0</v>
      </c>
      <c r="I31" s="1119">
        <f t="shared" si="20"/>
        <v>0</v>
      </c>
      <c r="J31" s="1119">
        <f t="shared" si="20"/>
        <v>0</v>
      </c>
      <c r="K31" s="1180">
        <f t="shared" si="20"/>
        <v>0</v>
      </c>
      <c r="L31" s="1119">
        <f t="shared" si="20"/>
        <v>487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2882</v>
      </c>
      <c r="X31" s="1118">
        <f t="shared" si="21"/>
        <v>415</v>
      </c>
      <c r="Y31" s="1125">
        <f t="shared" si="21"/>
        <v>3297</v>
      </c>
      <c r="Z31" s="1125">
        <f t="shared" si="21"/>
        <v>0</v>
      </c>
      <c r="AA31" s="1125">
        <f t="shared" si="21"/>
        <v>4191</v>
      </c>
      <c r="AB31" s="1125">
        <f t="shared" si="21"/>
        <v>9931</v>
      </c>
      <c r="AC31" s="1125">
        <f t="shared" si="21"/>
        <v>4825</v>
      </c>
      <c r="AD31" s="1125">
        <f t="shared" si="21"/>
        <v>0</v>
      </c>
      <c r="AE31" s="1127">
        <f t="shared" si="21"/>
        <v>0</v>
      </c>
      <c r="AF31" s="1128">
        <f t="shared" si="21"/>
        <v>0</v>
      </c>
      <c r="AG31" s="1129">
        <f t="shared" si="21"/>
        <v>0</v>
      </c>
      <c r="AH31" s="1127">
        <f t="shared" si="21"/>
        <v>0</v>
      </c>
      <c r="AI31" s="1117">
        <f t="shared" si="21"/>
        <v>892</v>
      </c>
      <c r="AJ31" s="1117">
        <f t="shared" si="21"/>
        <v>0</v>
      </c>
      <c r="AK31" s="1127">
        <f t="shared" si="21"/>
        <v>0</v>
      </c>
      <c r="AL31" s="1183">
        <f>IF(ISNUMBER(NºAsuntos!G31/NºAsuntos!E31),NºAsuntos!G31/NºAsuntos!E31," - ")</f>
        <v>0.93054821082319761</v>
      </c>
      <c r="AM31" s="1184">
        <f>IF(ISNUMBER(((NºAsuntos!I31/NºAsuntos!G31)*11)/factor_trimestre),((NºAsuntos!I31/NºAsuntos!G31)*11)/factor_trimestre," - ")</f>
        <v>7.3945823072551633</v>
      </c>
      <c r="AN31" s="1184">
        <f>IF(ISNUMBER('Resol  Asuntos'!D31/NºAsuntos!G31),'Resol  Asuntos'!D31/NºAsuntos!G31," - ")</f>
        <v>0.16897139609774578</v>
      </c>
      <c r="AO31" s="1185">
        <f>IF(ISNUMBER((NºAsuntos!C31+NºAsuntos!E31)/NºAsuntos!G31),(NºAsuntos!C31+NºAsuntos!E31)/NºAsuntos!G31," - ")</f>
        <v>3.4546315590073879</v>
      </c>
      <c r="AP31" s="1186" t="str">
        <f t="shared" si="2"/>
        <v xml:space="preserve"> - </v>
      </c>
      <c r="AQ31" s="1187">
        <f>IF(OR(ISNUMBER(FIND("01",Criterios!A8,1)),ISNUMBER(FIND("02",Criterios!A8,1)),ISNUMBER(FIND("03",Criterios!A8,1)),ISNUMBER(FIND("04",Criterios!A8,1))),(I31-W31+K31)/(F31-K31),(H31-W31+K31)/(F31-K31))</f>
        <v>-0.73333333333333328</v>
      </c>
      <c r="AR31" s="1188">
        <f>IF(ISNUMBER((Datos!P31-Datos!Q31)/(Datos!R31-Datos!P31+Datos!Q31)),(Datos!P31-Datos!Q31)/(Datos!R31-Datos!P31+Datos!Q31)," - ")</f>
        <v>7.3029719038442036E-3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1138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3.9425701831575308</v>
      </c>
      <c r="F33" s="276">
        <f>IF(ISNUMBER(STDEV(F8:F30)),STDEV(F8:F30),"-")</f>
        <v>2000.8516186864033</v>
      </c>
      <c r="G33" s="277">
        <f>IF(ISNUMBER(STDEV(G8:G30)),STDEV(G8:G30),"-")</f>
        <v>1882.2732709855566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1282.0157119607723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241.7933001553186</v>
      </c>
      <c r="AJ33" s="276">
        <f t="shared" si="25"/>
        <v>0</v>
      </c>
      <c r="AK33" s="278">
        <f t="shared" si="25"/>
        <v>0</v>
      </c>
      <c r="AL33" s="273">
        <f t="shared" si="25"/>
        <v>9.5233204783428144E-2</v>
      </c>
      <c r="AM33" s="274">
        <f t="shared" si="25"/>
        <v>3.9614544633241469</v>
      </c>
      <c r="AN33" s="274">
        <f t="shared" si="25"/>
        <v>0.11569272969136887</v>
      </c>
      <c r="AO33" s="275">
        <f t="shared" si="25"/>
        <v>1.3248185780889372</v>
      </c>
      <c r="AP33" s="317" t="str">
        <f t="shared" si="25"/>
        <v>-</v>
      </c>
      <c r="AQ33" s="318">
        <f t="shared" si="25"/>
        <v>7.4598167514185354E-2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6KDcaWz8ngJ+a4T5O0TleoLpsc8KBP60w0QFO4Mm2ylRj83YiDTmGoMDtU07VAg4sHH/CtXIiNxw6URQBYCgRw==" saltValue="6ghUcU5w2aLp91SS/SmDp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MADRID</v>
      </c>
      <c r="E2" s="287"/>
    </row>
    <row r="3" spans="2:20" ht="17.25" customHeight="1">
      <c r="C3" s="291"/>
      <c r="D3" s="286" t="str">
        <f>Criterios!A10 &amp;"  "&amp;Criterios!B10</f>
        <v>Provincias  MADRID</v>
      </c>
      <c r="E3" s="287"/>
    </row>
    <row r="4" spans="2:20" ht="17.25" customHeight="1" thickBot="1">
      <c r="D4" s="286" t="str">
        <f>Criterios!A11 &amp;"  "&amp;Criterios!B11</f>
        <v>Resumenes por Partidos Judiciales  ARGANDA DEL REY</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-0.15909090909090909</v>
      </c>
      <c r="E10" s="393">
        <f>IF(ISNUMBER((Datos!J10-Datos!T10)/Datos!T10),(Datos!J10-Datos!T10)/Datos!T10," - ")</f>
        <v>-0.2</v>
      </c>
      <c r="F10" s="393">
        <f>IF(ISNUMBER((Datos!K10-Datos!U10)/Datos!U10),(Datos!K10-Datos!U10)/Datos!U10," - ")</f>
        <v>-0.41509433962264153</v>
      </c>
      <c r="G10" s="394">
        <f>IF(ISNUMBER((Datos!L10-Datos!V10)/Datos!V10),(Datos!L10-Datos!V10)/Datos!V10," - ")</f>
        <v>8.6956521739130432E-2</v>
      </c>
      <c r="H10" s="244">
        <f>IF(ISNUMBER((Datos!M10-Datos!W10)/Datos!W10),(Datos!M10-Datos!W10)/Datos!W10," - ")</f>
        <v>-0.47826086956521741</v>
      </c>
      <c r="I10" s="395">
        <f>IF(ISNUMBER((Tasas!C10-Datos!BE10)/Datos!BE10),(Tasas!C10-Datos!BE10)/Datos!BE10," - ")</f>
        <v>0.85834502103786803</v>
      </c>
      <c r="J10" s="394">
        <f>IF(ISNUMBER((Tasas!D10-Datos!BF10)/Datos!BF10),(Tasas!D10-Datos!BF10)/Datos!BF10," - ")</f>
        <v>-0.10799438990182333</v>
      </c>
      <c r="K10" s="396">
        <f>IF(ISNUMBER((Tasas!E10-Datos!BG10)/Datos!BG10),(Tasas!E10-Datos!BG10)/Datos!BG10," - ")</f>
        <v>0.39882697947214069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0.38481675392670156</v>
      </c>
      <c r="I12" s="395">
        <f>IF(ISNUMBER((Tasas!C12-Datos!BE12)/Datos!BE12),(Tasas!C12-Datos!BE12)/Datos!BE12," - ")</f>
        <v>-3.744464406995382E-2</v>
      </c>
      <c r="J12" s="394">
        <f>IF(ISNUMBER((Tasas!D12-Datos!BF12)/Datos!BF12),(Tasas!D12-Datos!BF12)/Datos!BF12," - ")</f>
        <v>-0.54486851486215082</v>
      </c>
      <c r="K12" s="396">
        <f>IF(ISNUMBER((Tasas!E12-Datos!BG12)/Datos!BG12),(Tasas!E12-Datos!BG12)/Datos!BG12," - ")</f>
        <v>-1.456005461793127E-2</v>
      </c>
      <c r="M12" t="e">
        <f>IF(Monitorios="SI",Datos!CE12,0)</f>
        <v>#REF!</v>
      </c>
      <c r="N12" t="e">
        <f>IF(Monitorios="SI",Datos!CF12,0)</f>
        <v>#REF!</v>
      </c>
      <c r="O12" t="e">
        <f>IF(Monitorios="SI",Datos!CG12,0)</f>
        <v>#REF!</v>
      </c>
      <c r="P12" t="e">
        <f>IF(Monitorios="SI",Datos!CH12,0)</f>
        <v>#REF!</v>
      </c>
      <c r="Q12">
        <f>IF(J_V="SI",0,Datos!AG12)</f>
        <v>243</v>
      </c>
      <c r="R12">
        <f>IF(J_V="SI",0,Datos!AH12)</f>
        <v>193</v>
      </c>
      <c r="S12">
        <f>IF(J_V="SI",0,Datos!AI12)</f>
        <v>203</v>
      </c>
      <c r="T12">
        <f>IF(J_V="SI",0,Datos!AJ12)</f>
        <v>259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0.33580246913580247</v>
      </c>
      <c r="I14" s="402">
        <f>IF(ISNUMBER((Tasas!C14-Datos!BE14)/Datos!BE14),(Tasas!C14-Datos!BE14)/Datos!BE14," - ")</f>
        <v>-2.2989142086615066E-2</v>
      </c>
      <c r="J14" s="400">
        <f>IF(ISNUMBER((Tasas!D14-Datos!BF14)/Datos!BF14),(Tasas!D14-Datos!BF14)/Datos!BF14," - ")</f>
        <v>-0.53911776150939561</v>
      </c>
      <c r="K14" s="403">
        <f>IF(ISNUMBER((Tasas!E14-Datos!BG14)/Datos!BG14),(Tasas!E14-Datos!BG14)/Datos!BG14," - ")</f>
        <v>-3.0105257290157948E-3</v>
      </c>
      <c r="M14" t="e">
        <f>IF(Monitorios="SI",Datos!CE14,0)</f>
        <v>#REF!</v>
      </c>
      <c r="N14" t="e">
        <f>IF(Monitorios="SI",Datos!CF14,0)</f>
        <v>#REF!</v>
      </c>
      <c r="O14" t="e">
        <f>IF(Monitorios="SI",Datos!CG14,0)</f>
        <v>#REF!</v>
      </c>
      <c r="P14" t="e">
        <f>IF(Monitorios="SI",Datos!CH14,0)</f>
        <v>#REF!</v>
      </c>
      <c r="Q14">
        <f>IF(J_V="SI",0,Datos!AG14)</f>
        <v>243</v>
      </c>
      <c r="R14">
        <f>IF(J_V="SI",0,Datos!AH14)</f>
        <v>193</v>
      </c>
      <c r="S14">
        <f>IF(J_V="SI",0,Datos!AI14)</f>
        <v>203</v>
      </c>
      <c r="T14">
        <f>IF(J_V="SI",0,Datos!AJ14)</f>
        <v>259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0.36960399571887265</v>
      </c>
      <c r="E17" s="393">
        <f>IF(ISNUMBER(
   IF(D_I="SI",(Datos!J17-Datos!T17)/Datos!T17,(Datos!J17+Datos!AD17-(Datos!T17+Datos!AL17))/(Datos!T17+Datos!AL17))
     ),IF(D_I="SI",(Datos!J17-Datos!T17)/Datos!T17,(Datos!J17+Datos!AD17-(Datos!T17+Datos!AL17))/(Datos!T17+Datos!AL17))," - ")</f>
        <v>-5.6765440913959297E-2</v>
      </c>
      <c r="F17" s="393">
        <f>IF(ISNUMBER(
   IF(D_I="SI",(Datos!K17-Datos!U17)/Datos!U17,(Datos!K17+Datos!AE17-(Datos!U17+Datos!AM17))/(Datos!U17+Datos!AM17))
     ),IF(D_I="SI",(Datos!K17-Datos!U17)/Datos!U17,(Datos!K17+Datos!AE17-(Datos!U17+Datos!AM17))/(Datos!U17+Datos!AM17))," - ")</f>
        <v>-0.12512998266897746</v>
      </c>
      <c r="G17" s="394">
        <f>IF(ISNUMBER(
   IF(D_I="SI",(Datos!L17-Datos!V17)/Datos!V17,(Datos!L17+Datos!AF17-(Datos!V17+Datos!AN17))/(Datos!V17+Datos!AN17))
     ),IF(D_I="SI",(Datos!L17-Datos!V17)/Datos!V17,(Datos!L17+Datos!AF17-(Datos!V17+Datos!AN17))/(Datos!V17+Datos!AN17))," - ")</f>
        <v>0.3546099290780142</v>
      </c>
      <c r="H17" s="244">
        <f>IF(ISNUMBER((Datos!M17-Datos!W17)/Datos!W17),(Datos!M17-Datos!W17)/Datos!W17," - ")</f>
        <v>2.1472392638036811E-2</v>
      </c>
      <c r="I17" s="395">
        <f>IF(ISNUMBER((Tasas!C17-Datos!BE17)/Datos!BE17),(Tasas!C17-Datos!BE17)/Datos!BE17," - ")</f>
        <v>0.54835564397387893</v>
      </c>
      <c r="J17" s="394">
        <f>IF(ISNUMBER((Tasas!D17-Datos!BF17)/Datos!BF17),(Tasas!D17-Datos!BF17)/Datos!BF17," - ")</f>
        <v>0.16757046464371472</v>
      </c>
      <c r="K17" s="396">
        <f>IF(ISNUMBER((Tasas!E17-Datos!BG17)/Datos!BG17),(Tasas!E17-Datos!BG17)/Datos!BG17," - ")</f>
        <v>0.321905354563358</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-0.39548022598870058</v>
      </c>
      <c r="E18" s="393">
        <f>IF(ISNUMBER(
   IF(D_I="SI",(Datos!J18-Datos!T18)/Datos!T18,(Datos!J18+Datos!AD18-(Datos!T18+Datos!AL18))/(Datos!T18+Datos!AL18))
     ),IF(D_I="SI",(Datos!J18-Datos!T18)/Datos!T18,(Datos!J18+Datos!AD18-(Datos!T18+Datos!AL18))/(Datos!T18+Datos!AL18))," - ")</f>
        <v>-0.12311557788944724</v>
      </c>
      <c r="F18" s="393">
        <f>IF(ISNUMBER(
   IF(D_I="SI",(Datos!K18-Datos!U18)/Datos!U18,(Datos!K18+Datos!AE18-(Datos!U18+Datos!AM18))/(Datos!U18+Datos!AM18))
     ),IF(D_I="SI",(Datos!K18-Datos!U18)/Datos!U18,(Datos!K18+Datos!AE18-(Datos!U18+Datos!AM18))/(Datos!U18+Datos!AM18))," - ")</f>
        <v>-0.22695035460992907</v>
      </c>
      <c r="G18" s="394">
        <f>IF(ISNUMBER(
   IF(D_I="SI",(Datos!L18-Datos!V18)/Datos!V18,(Datos!L18+Datos!AF18-(Datos!V18+Datos!AN18))/(Datos!V18+Datos!AN18))
     ),IF(D_I="SI",(Datos!L18-Datos!V18)/Datos!V18,(Datos!L18+Datos!AF18-(Datos!V18+Datos!AN18))/(Datos!V18+Datos!AN18))," - ")</f>
        <v>-0.16129032258064516</v>
      </c>
      <c r="H18" s="244">
        <f>IF(ISNUMBER((Datos!M18-Datos!W18)/Datos!W18),(Datos!M18-Datos!W18)/Datos!W18," - ")</f>
        <v>0</v>
      </c>
      <c r="I18" s="395">
        <f>IF(ISNUMBER((Tasas!C18-Datos!BE18)/Datos!BE18),(Tasas!C18-Datos!BE18)/Datos!BE18," - ")</f>
        <v>8.4936371707605832E-2</v>
      </c>
      <c r="J18" s="394">
        <f>IF(ISNUMBER((Tasas!D18-Datos!BF18)/Datos!BF18),(Tasas!D18-Datos!BF18)/Datos!BF18," - ")</f>
        <v>0.29357798165137627</v>
      </c>
      <c r="K18" s="396">
        <f>IF(ISNUMBER((Tasas!E18-Datos!BG18)/Datos!BG18),(Tasas!E18-Datos!BG18)/Datos!BG18," - ")</f>
        <v>2.5863581970482649E-2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0.32416107382550335</v>
      </c>
      <c r="E23" s="399">
        <f>IF(ISNUMBER(
   IF(D_I="SI",(Datos!J23-Datos!T23)/Datos!T23,(Datos!J23+Datos!AD23-(Datos!T23+Datos!AL23))/(Datos!T23+Datos!AL23))
     ),IF(D_I="SI",(Datos!J23-Datos!T23)/Datos!T23,(Datos!J23+Datos!AD23-(Datos!T23+Datos!AL23))/(Datos!T23+Datos!AL23))," - ")</f>
        <v>-6.5020318849640518E-2</v>
      </c>
      <c r="F23" s="399">
        <f>IF(ISNUMBER(
   IF(D_I="SI",(Datos!K23-Datos!U23)/Datos!U23,(Datos!K23+Datos!AE23-(Datos!U23+Datos!AM23))/(Datos!U23+Datos!AM23))
     ),IF(D_I="SI",(Datos!K23-Datos!U23)/Datos!U23,(Datos!K23+Datos!AE23-(Datos!U23+Datos!AM23))/(Datos!U23+Datos!AM23))," - ")</f>
        <v>-0.13814993954050786</v>
      </c>
      <c r="G23" s="400">
        <f>IF(ISNUMBER(
   IF(D_I="SI",(Datos!L23-Datos!V23)/Datos!V23,(Datos!L23+Datos!AF23-(Datos!V23+Datos!AN23))/(Datos!V23+Datos!AN23))
     ),IF(D_I="SI",(Datos!L23-Datos!V23)/Datos!V23,(Datos!L23+Datos!AF23-(Datos!V23+Datos!AN23))/(Datos!V23+Datos!AN23))," - ")</f>
        <v>0.32894736842105265</v>
      </c>
      <c r="H23" s="401">
        <f>IF(ISNUMBER((Datos!M23-Datos!W23)/Datos!W23),(Datos!M23-Datos!W23)/Datos!W23," - ")</f>
        <v>2.0348837209302327E-2</v>
      </c>
      <c r="I23" s="402">
        <f>IF(ISNUMBER((Tasas!C23-Datos!BE23)/Datos!BE23),(Tasas!C23-Datos!BE23)/Datos!BE23," - ")</f>
        <v>0.54197049973231914</v>
      </c>
      <c r="J23" s="400">
        <f>IF(ISNUMBER((Tasas!D23-Datos!BF23)/Datos!BF23),(Tasas!D23-Datos!BF23)/Datos!BF23," - ")</f>
        <v>0.18390528007308737</v>
      </c>
      <c r="K23" s="403">
        <f>IF(ISNUMBER((Tasas!E23-Datos!BG23)/Datos!BG23),(Tasas!E23-Datos!BG23)/Datos!BG23," - ")</f>
        <v>0.30263212046051158</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0.33944562899786779</v>
      </c>
      <c r="E31" s="409">
        <f>IF(ISNUMBER(
   IF(J_V="SI",(Datos!J31-Datos!T31)/Datos!T31,(Datos!J31+Datos!Z31-(Datos!T31+Datos!AH31))/(Datos!T31+Datos!AH31))
     ),IF(J_V="SI",(Datos!J31-Datos!T31)/Datos!T31,(Datos!J31+Datos!Z31-(Datos!T31+Datos!AH31))/(Datos!T31+Datos!AH31))," - ")</f>
        <v>2.2714981070849107E-2</v>
      </c>
      <c r="F31" s="409">
        <f>IF(ISNUMBER(
   IF(J_V="SI",(Datos!K31-Datos!U31)/Datos!U31,(Datos!K31+Datos!AA31-(Datos!U31+Datos!AI31))/(Datos!U31+Datos!AI31))
     ),IF(J_V="SI",(Datos!K31-Datos!U31)/Datos!U31,(Datos!K31+Datos!AA31-(Datos!U31+Datos!AI31))/(Datos!U31+Datos!AI31))," - ")</f>
        <v>1.8718641451177152E-2</v>
      </c>
      <c r="G31" s="410">
        <f>IF(ISNUMBER(
   IF(J_V="SI",(Datos!L31-Datos!V31)/Datos!V31,(Datos!L31+Datos!AB31-(Datos!V31+Datos!AJ31))/(Datos!V31+Datos!AJ31))
     ),IF(J_V="SI",(Datos!L31-Datos!V31)/Datos!V31,(Datos!L31+Datos!AB31-(Datos!V31+Datos!AJ31))/(Datos!V31+Datos!AJ31))," - ")</f>
        <v>0.28526274199920981</v>
      </c>
      <c r="H31" s="411">
        <f>IF(ISNUMBER((Datos!M31-Datos!W31)/Datos!W31),(Datos!M31-Datos!W31)/Datos!W31," - ")</f>
        <v>0.19092122830440589</v>
      </c>
      <c r="I31" s="408">
        <f>IF(ISNUMBER((Tasas!C31-Datos!BE31)/Datos!BE31),(Tasas!C31-Datos!BE31)/Datos!BE31," - ")</f>
        <v>0.26164643474898752</v>
      </c>
      <c r="J31" s="409">
        <f>IF(ISNUMBER((Tasas!D31-Datos!BF31)/Datos!BF31),(Tasas!D31-Datos!BF31)/Datos!BF31," - ")</f>
        <v>-0.29951218033718507</v>
      </c>
      <c r="K31" s="410">
        <f>IF(ISNUMBER((Tasas!E31-Datos!BG31)/Datos!BG31),(Tasas!E31-Datos!BG31)/Datos!BG31," - ")</f>
        <v>0.19929662616575902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0.37352300424050638</v>
      </c>
      <c r="E33" s="303">
        <f t="shared" si="1"/>
        <v>6.6139001613143095E-2</v>
      </c>
      <c r="F33" s="303">
        <f t="shared" si="1"/>
        <v>0.13372799173212904</v>
      </c>
      <c r="G33" s="304">
        <f t="shared" si="1"/>
        <v>0.24134502315362602</v>
      </c>
      <c r="H33" s="310">
        <f t="shared" si="1"/>
        <v>0.30886766032095847</v>
      </c>
      <c r="I33" s="302">
        <f t="shared" si="1"/>
        <v>0.37186676586789924</v>
      </c>
      <c r="J33" s="303">
        <f t="shared" si="1"/>
        <v>0.37347734743026789</v>
      </c>
      <c r="K33" s="304">
        <f t="shared" si="1"/>
        <v>0.18856087401826965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OkqJib31ewAQX6LmPufp7oZ48UjtrpH79V9UL69p0AEu9zr++9MQu5gmNRO2DlyxLqP7uxXCmzi7nHAH2w9A3Q==" saltValue="pQlsbZiRlYzBX3/5h2GSi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2023-05-06T06:30:40Z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